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4.xml" ContentType="application/vnd.openxmlformats-officedocument.drawing+xml"/>
  <Override PartName="/xl/drawings/drawing5.xml" ContentType="application/vnd.openxmlformats-officedocument.drawing+xml"/>
  <Override PartName="/xl/comments2.xml" ContentType="application/vnd.openxmlformats-officedocument.spreadsheetml.comments+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31"/>
  <workbookPr/>
  <mc:AlternateContent xmlns:mc="http://schemas.openxmlformats.org/markup-compatibility/2006">
    <mc:Choice Requires="x15">
      <x15ac:absPath xmlns:x15ac="http://schemas.microsoft.com/office/spreadsheetml/2010/11/ac" url="/Users/liamcollier/Desktop/Final/"/>
    </mc:Choice>
  </mc:AlternateContent>
  <xr:revisionPtr revIDLastSave="0" documentId="13_ncr:1_{E04716EE-C857-B043-A4B8-E1D4C9C475F1}" xr6:coauthVersionLast="47" xr6:coauthVersionMax="47" xr10:uidLastSave="{00000000-0000-0000-0000-000000000000}"/>
  <bookViews>
    <workbookView xWindow="0" yWindow="620" windowWidth="51200" windowHeight="26700" xr2:uid="{00000000-000D-0000-FFFF-FFFF00000000}"/>
  </bookViews>
  <sheets>
    <sheet name="Read Me" sheetId="8" r:id="rId1"/>
    <sheet name="Drivers" sheetId="2" r:id="rId2"/>
    <sheet name="Model" sheetId="1" r:id="rId3"/>
    <sheet name="Sample Drivers" sheetId="6" r:id="rId4"/>
    <sheet name="Sample Model" sheetId="3" r:id="rId5"/>
  </sheets>
  <definedNames>
    <definedName name="act_horizon_n">Model!$AG$180</definedName>
    <definedName name="act_scn_idx">Model!$AE$180</definedName>
    <definedName name="act_view_idx">Model!$AF$180</definedName>
    <definedName name="inp_ap_days" localSheetId="3">'Sample Drivers'!$C$32</definedName>
    <definedName name="inp_ap_days">Drivers!$C$32</definedName>
    <definedName name="inp_ar_days" localSheetId="3">'Sample Drivers'!$C$31</definedName>
    <definedName name="inp_ar_days">Drivers!$C$31</definedName>
    <definedName name="inp_biz_name" localSheetId="3">'Sample Drivers'!$C$9</definedName>
    <definedName name="inp_biz_name">Drivers!$C$9</definedName>
    <definedName name="inp_capex" localSheetId="3">'Sample Drivers'!$E$89:'Sample Drivers'!$AB$89</definedName>
    <definedName name="inp_capex">Drivers!$E$89:'Drivers'!$AB$89</definedName>
    <definedName name="inp_cov_de_max" localSheetId="3">'Sample Drivers'!$C$41</definedName>
    <definedName name="inp_cov_de_max">Drivers!$C$41</definedName>
    <definedName name="inp_cov_dscr_min" localSheetId="3">'Sample Drivers'!$C$42</definedName>
    <definedName name="inp_cov_dscr_min">Drivers!$C$42</definedName>
    <definedName name="inp_da_monthly" localSheetId="3">'Sample Drivers'!$E$85:'Sample Drivers'!$AB$85</definedName>
    <definedName name="inp_da_monthly">Drivers!$E$85:'Drivers'!$AB$85</definedName>
    <definedName name="inp_dc_contractors" localSheetId="3">'Sample Drivers'!$E$68:'Sample Drivers'!$AB$68</definedName>
    <definedName name="inp_dc_contractors">Drivers!$E$68:'Drivers'!$AB$68</definedName>
    <definedName name="inp_dc_other" localSheetId="3">'Sample Drivers'!$E$71:'Sample Drivers'!$AB$71</definedName>
    <definedName name="inp_dc_other">Drivers!$E$71:'Drivers'!$AB$71</definedName>
    <definedName name="inp_dc_passthrough" localSheetId="3">'Sample Drivers'!$E$70:'Sample Drivers'!$AB$70</definedName>
    <definedName name="inp_dc_passthrough">Drivers!$E$70:'Drivers'!$AB$70</definedName>
    <definedName name="inp_dc_pct_sl1" localSheetId="3">'Sample Drivers'!$C$47</definedName>
    <definedName name="inp_dc_pct_sl1">Drivers!$C$47</definedName>
    <definedName name="inp_dc_pct_sl2" localSheetId="3">'Sample Drivers'!$C$51</definedName>
    <definedName name="inp_dc_pct_sl2">Drivers!$C$51</definedName>
    <definedName name="inp_dc_pct_sl3" localSheetId="3">'Sample Drivers'!$C$55</definedName>
    <definedName name="inp_dc_pct_sl3">Drivers!$C$55</definedName>
    <definedName name="inp_dc_pct_sl4" localSheetId="3">'Sample Drivers'!$C$59</definedName>
    <definedName name="inp_dc_pct_sl4">Drivers!$C$59</definedName>
    <definedName name="inp_dc_pct_sl5" localSheetId="3">'Sample Drivers'!$C$63</definedName>
    <definedName name="inp_dc_pct_sl5">Drivers!$C$63</definedName>
    <definedName name="inp_dc_tools" localSheetId="3">'Sample Drivers'!$E$69:'Sample Drivers'!$AB$69</definedName>
    <definedName name="inp_dc_tools">Drivers!$E$69:'Drivers'!$AB$69</definedName>
    <definedName name="inp_debt_draw" localSheetId="3">'Sample Drivers'!$E$93:'Sample Drivers'!$AB$93</definedName>
    <definedName name="inp_debt_draw">Drivers!$E$93:'Drivers'!$AB$93</definedName>
    <definedName name="inp_debt_repay" localSheetId="3">'Sample Drivers'!$E$94:'Sample Drivers'!$AB$94</definedName>
    <definedName name="inp_debt_repay">Drivers!$E$94:'Drivers'!$AB$94</definedName>
    <definedName name="inp_dist" localSheetId="3">'Sample Drivers'!$E$98:'Sample Drivers'!$AB$98</definedName>
    <definedName name="inp_dist">Drivers!$E$98:'Drivers'!$AB$98</definedName>
    <definedName name="inp_equity_contr" localSheetId="3">'Sample Drivers'!$E$99:'Sample Drivers'!$AB$99</definedName>
    <definedName name="inp_equity_contr">Drivers!$E$99:'Drivers'!$AB$99</definedName>
    <definedName name="inp_flc_per_fte" localSheetId="3">'Sample Drivers'!$C$39</definedName>
    <definedName name="inp_flc_per_fte">Drivers!$C$39</definedName>
    <definedName name="inp_fy_label" localSheetId="3">'Sample Drivers'!$C$10</definedName>
    <definedName name="inp_fy_label">Drivers!$C$10</definedName>
    <definedName name="inp_fy_start_month" localSheetId="3">'Sample Drivers'!$F$11</definedName>
    <definedName name="inp_fy_start_month">Drivers!$F$11</definedName>
    <definedName name="inp_headcount" localSheetId="3">'Sample Drivers'!$C$38</definedName>
    <definedName name="inp_headcount">Drivers!$C$38</definedName>
    <definedName name="inp_horizon">Model!$W$5</definedName>
    <definedName name="inp_int_rate" localSheetId="3">'Sample Drivers'!$C$37</definedName>
    <definedName name="inp_int_rate">Drivers!$C$37</definedName>
    <definedName name="inp_open_ap" localSheetId="3">'Sample Drivers'!$C$22</definedName>
    <definedName name="inp_open_ap">Drivers!$C$22</definedName>
    <definedName name="inp_open_ar" localSheetId="3">'Sample Drivers'!$C$19</definedName>
    <definedName name="inp_open_ar">Drivers!$C$19</definedName>
    <definedName name="inp_open_cash" localSheetId="3">'Sample Drivers'!$C$18</definedName>
    <definedName name="inp_open_cash">Drivers!$C$18</definedName>
    <definedName name="inp_open_debt" localSheetId="3">'Sample Drivers'!$C$25</definedName>
    <definedName name="inp_open_debt">Drivers!$C$25</definedName>
    <definedName name="inp_open_fa" localSheetId="3">'Sample Drivers'!$C$21</definedName>
    <definedName name="inp_open_fa">Drivers!$C$21</definedName>
    <definedName name="inp_open_oca" localSheetId="3">'Sample Drivers'!$C$20</definedName>
    <definedName name="inp_open_oca">Drivers!$C$20</definedName>
    <definedName name="inp_open_ocl" localSheetId="3">'Sample Drivers'!$C$23</definedName>
    <definedName name="inp_open_ocl">Drivers!$C$23</definedName>
    <definedName name="inp_open_re" localSheetId="3">'Sample Drivers'!$C$27</definedName>
    <definedName name="inp_open_re">Drivers!$C$27</definedName>
    <definedName name="inp_open_sc" localSheetId="3">'Sample Drivers'!$C$26</definedName>
    <definedName name="inp_open_sc">Drivers!$C$26</definedName>
    <definedName name="inp_open_tax_pay" localSheetId="3">'Sample Drivers'!$C$24</definedName>
    <definedName name="inp_open_tax_pay">Drivers!$C$24</definedName>
    <definedName name="inp_other_ca" localSheetId="3">'Sample Drivers'!$C$33</definedName>
    <definedName name="inp_other_ca">Drivers!$C$33</definedName>
    <definedName name="inp_other_cl" localSheetId="3">'Sample Drivers'!$C$34</definedName>
    <definedName name="inp_other_cl">Drivers!$C$34</definedName>
    <definedName name="inp_ox_insurance" localSheetId="3">'Sample Drivers'!$E$80:'Sample Drivers'!$AB$80</definedName>
    <definedName name="inp_ox_insurance">Drivers!$E$80:'Drivers'!$AB$80</definedName>
    <definedName name="inp_ox_other" localSheetId="3">'Sample Drivers'!$E$81:'Sample Drivers'!$AB$81</definedName>
    <definedName name="inp_ox_other">Drivers!$E$81:'Drivers'!$AB$81</definedName>
    <definedName name="inp_ox_payroll" localSheetId="3">'Sample Drivers'!$E$75:'Sample Drivers'!$AB$75</definedName>
    <definedName name="inp_ox_payroll">Drivers!$E$75:'Drivers'!$AB$75</definedName>
    <definedName name="inp_ox_prof_fees" localSheetId="3">'Sample Drivers'!$E$79:'Sample Drivers'!$AB$79</definedName>
    <definedName name="inp_ox_prof_fees">Drivers!$E$79:'Drivers'!$AB$79</definedName>
    <definedName name="inp_ox_rent" localSheetId="3">'Sample Drivers'!$E$76:'Sample Drivers'!$AB$76</definedName>
    <definedName name="inp_ox_rent">Drivers!$E$76:'Drivers'!$AB$76</definedName>
    <definedName name="inp_ox_sales_mktg" localSheetId="3">'Sample Drivers'!$E$78:'Sample Drivers'!$AB$78</definedName>
    <definedName name="inp_ox_sales_mktg">Drivers!$E$78:'Drivers'!$AB$78</definedName>
    <definedName name="inp_ox_software" localSheetId="3">'Sample Drivers'!$E$77:'Sample Drivers'!$AB$77</definedName>
    <definedName name="inp_ox_software">Drivers!$E$77:'Drivers'!$AB$77</definedName>
    <definedName name="inp_rev_sl1" localSheetId="3">'Sample Drivers'!$E$48:'Sample Drivers'!$AB$48</definedName>
    <definedName name="inp_rev_sl1">Drivers!$E$48:'Drivers'!$AB$48</definedName>
    <definedName name="inp_rev_sl2" localSheetId="3">'Sample Drivers'!$E$52:'Sample Drivers'!$AB$52</definedName>
    <definedName name="inp_rev_sl2">Drivers!$E$52:'Drivers'!$AB$52</definedName>
    <definedName name="inp_rev_sl3" localSheetId="3">'Sample Drivers'!$E$56:'Sample Drivers'!$AB$56</definedName>
    <definedName name="inp_rev_sl3">Drivers!$E$56:'Drivers'!$AB$56</definedName>
    <definedName name="inp_rev_sl4" localSheetId="3">'Sample Drivers'!$E$60:'Sample Drivers'!$AB$60</definedName>
    <definedName name="inp_rev_sl4">Drivers!$E$60:'Drivers'!$AB$60</definedName>
    <definedName name="inp_rev_sl5" localSheetId="3">'Sample Drivers'!$E$64:'Sample Drivers'!$AB$64</definedName>
    <definedName name="inp_rev_sl5">Drivers!$E$64:'Drivers'!$AB$64</definedName>
    <definedName name="inp_scenario">Model!$W$3</definedName>
    <definedName name="inp_sl1_name" localSheetId="3">'Sample Drivers'!$C$46</definedName>
    <definedName name="inp_sl1_name">Drivers!$C$46</definedName>
    <definedName name="inp_sl2_name" localSheetId="3">'Sample Drivers'!$C$50</definedName>
    <definedName name="inp_sl2_name">Drivers!$C$50</definedName>
    <definedName name="inp_sl3_name" localSheetId="3">'Sample Drivers'!$C$54</definedName>
    <definedName name="inp_sl3_name">Drivers!$C$54</definedName>
    <definedName name="inp_sl4_name" localSheetId="3">'Sample Drivers'!$C$58</definedName>
    <definedName name="inp_sl4_name">Drivers!$C$58</definedName>
    <definedName name="inp_sl5_name" localSheetId="3">'Sample Drivers'!$C$62</definedName>
    <definedName name="inp_sl5_name">Drivers!$C$62</definedName>
    <definedName name="inp_tax_pay_pct" localSheetId="3">'Sample Drivers'!$E$103:'Sample Drivers'!$AB$103</definedName>
    <definedName name="inp_tax_pay_pct">Drivers!$E$103:'Drivers'!$AB$103</definedName>
    <definedName name="inp_tax_rate" localSheetId="3">'Sample Drivers'!$C$40</definedName>
    <definedName name="inp_tax_rate">Drivers!$C$40</definedName>
    <definedName name="inp_view">Model!$W$4</definedName>
    <definedName name="_xlnm.Print_Area" localSheetId="1">Drivers!$A$1:$AC$299</definedName>
    <definedName name="_xlnm.Print_Area" localSheetId="2">Model!$A$1:$AC$167</definedName>
    <definedName name="_xlnm.Print_Area" localSheetId="0">'Read Me'!$A$1:$K$26</definedName>
    <definedName name="_xlnm.Print_Area" localSheetId="3">'Sample Drivers'!$A$1:$AC$299</definedName>
    <definedName name="_xlnm.Print_Area" localSheetId="4">'Sample Model'!$A$1:$AC$181</definedName>
    <definedName name="_xlnm.Print_Titles" localSheetId="1">Drivers!$1:$6</definedName>
    <definedName name="_xlnm.Print_Titles" localSheetId="2">Model!$1:$6</definedName>
    <definedName name="_xlnm.Print_Titles" localSheetId="0">'Read Me'!$1:$4</definedName>
    <definedName name="_xlnm.Print_Titles" localSheetId="3">'Sample Drivers'!$1:$6</definedName>
    <definedName name="_xlnm.Print_Titles" localSheetId="4">'Sample Model'!$1:$6</definedName>
    <definedName name="ref_region_codes" localSheetId="3">'Sample Drivers'!$B$110:'Sample Drivers'!$B$112</definedName>
    <definedName name="ref_region_codes">Drivers!$B$110:'Drivers'!$B$112</definedName>
    <definedName name="ref_region_fy_start" localSheetId="3">'Sample Drivers'!$C$110:'Sample Drivers'!$C$112</definedName>
    <definedName name="ref_region_fy_start">Drivers!$C$110:'Drivers'!$C$112</definedName>
    <definedName name="ref_region_tax_rate" localSheetId="3">'Sample Drivers'!$D$110:'Sample Drivers'!$D$112</definedName>
    <definedName name="ref_region_tax_rate">Drivers!$D$110:'Drivers'!$D$112</definedName>
    <definedName name="ref_scn_ap_adj" localSheetId="3">'Sample Drivers'!$F$126:$F$128</definedName>
    <definedName name="ref_scn_ap_adj">Drivers!$F$126:$F$128</definedName>
    <definedName name="ref_scn_ar_adj" localSheetId="3">'Sample Drivers'!$E$126:'Sample Drivers'!$E$128</definedName>
    <definedName name="ref_scn_ar_adj">Drivers!$E$126:'Drivers'!$E$128</definedName>
    <definedName name="ref_scn_cost" localSheetId="3">'Sample Drivers'!$D$126:'Sample Drivers'!$D$128</definedName>
    <definedName name="ref_scn_cost">Drivers!$D$126:'Drivers'!$D$128</definedName>
    <definedName name="ref_scn_names" localSheetId="3">'Sample Drivers'!$B$126:'Sample Drivers'!$B$128</definedName>
    <definedName name="ref_scn_names">Drivers!$B$126:'Drivers'!$B$128</definedName>
    <definedName name="ref_scn_rev" localSheetId="3">'Sample Drivers'!$C$126:'Sample Drivers'!$C$128</definedName>
    <definedName name="ref_scn_rev">Drivers!$C$126:'Drivers'!$C$128</definedName>
    <definedName name="ref_tax_sched_au" localSheetId="3">'Sample Drivers'!$AF$104:'Sample Drivers'!$AQ$104</definedName>
    <definedName name="ref_tax_sched_au">Drivers!$AF$104:'Drivers'!$AQ$104</definedName>
    <definedName name="ref_tax_sched_nz" localSheetId="3">'Sample Drivers'!$AF$105:'Sample Drivers'!$AQ$105</definedName>
    <definedName name="ref_tax_sched_nz">Drivers!$AF$105:'Drivers'!$AQ$105</definedName>
    <definedName name="ref_tax_sched_us" localSheetId="3">'Sample Drivers'!$AF$106:'Sample Drivers'!$AQ$106</definedName>
    <definedName name="ref_tax_sched_us">Drivers!$AF$106:'Drivers'!$AQ$106</definedName>
    <definedName name="ref_vert_ap_days" localSheetId="3">'Sample Drivers'!$D$116:'Sample Drivers'!$D$122</definedName>
    <definedName name="ref_vert_ap_days">Drivers!$D$116:'Drivers'!$D$122</definedName>
    <definedName name="ref_vert_ar_days" localSheetId="3">'Sample Drivers'!$C$116:'Sample Drivers'!$C$122</definedName>
    <definedName name="ref_vert_ar_days">Drivers!$C$116:'Drivers'!$C$122</definedName>
    <definedName name="ref_vert_de" localSheetId="3">'Sample Drivers'!$F$116:'Sample Drivers'!$F$122</definedName>
    <definedName name="ref_vert_de">Drivers!$F$116:'Drivers'!$F$122</definedName>
    <definedName name="ref_vert_ebitda_m" localSheetId="3">'Sample Drivers'!$G$116:'Sample Drivers'!$G$122</definedName>
    <definedName name="ref_vert_ebitda_m">Drivers!$G$116:'Drivers'!$G$122</definedName>
    <definedName name="ref_vert_names" localSheetId="3">'Sample Drivers'!$B$116:'Sample Drivers'!$B$122</definedName>
    <definedName name="ref_vert_names">Drivers!$B$116:'Drivers'!$B$122</definedName>
    <definedName name="ref_vert_wc_int" localSheetId="3">'Sample Drivers'!$E$116:'Sample Drivers'!$E$122</definedName>
    <definedName name="ref_vert_wc_int">Drivers!$E$116:'Drivers'!$E$122</definedName>
    <definedName name="smp_act_horizon_n">'Sample Model'!$AG$180</definedName>
    <definedName name="smp_act_scn_idx">'Sample Model'!$AE$180</definedName>
    <definedName name="smp_act_view_idx">'Sample Model'!$AF$180</definedName>
    <definedName name="smp_ap_days">'Sample Drivers'!$C$32</definedName>
    <definedName name="smp_ar_days">'Sample Drivers'!$C$31</definedName>
    <definedName name="smp_capex">'Sample Drivers'!$E$89:'Sample Drivers'!$AB$89</definedName>
    <definedName name="smp_cov_de_max">'Sample Drivers'!$C$41</definedName>
    <definedName name="smp_cov_dscr_min">'Sample Drivers'!$C$42</definedName>
    <definedName name="smp_da_monthly">'Sample Drivers'!$E$85:'Sample Drivers'!$AB$85</definedName>
    <definedName name="smp_dc_contractors">'Sample Drivers'!$E$68:'Sample Drivers'!$AB$68</definedName>
    <definedName name="smp_dc_other">'Sample Drivers'!$E$71:'Sample Drivers'!$AB$71</definedName>
    <definedName name="smp_dc_passthrough">'Sample Drivers'!$E$70:'Sample Drivers'!$AB$70</definedName>
    <definedName name="smp_dc_pct_sl1">'Sample Drivers'!$C$47</definedName>
    <definedName name="smp_dc_pct_sl2">'Sample Drivers'!$C$51</definedName>
    <definedName name="smp_dc_pct_sl3">'Sample Drivers'!$C$55</definedName>
    <definedName name="smp_dc_pct_sl4">'Sample Drivers'!$C$59</definedName>
    <definedName name="smp_dc_pct_sl5">'Sample Drivers'!$C$63</definedName>
    <definedName name="smp_dc_tools">'Sample Drivers'!$E$69:'Sample Drivers'!$AB$69</definedName>
    <definedName name="smp_debt_draw">'Sample Drivers'!$E$93:'Sample Drivers'!$AB$93</definedName>
    <definedName name="smp_debt_repay">'Sample Drivers'!$E$94:'Sample Drivers'!$AB$94</definedName>
    <definedName name="smp_dist">'Sample Drivers'!$E$98:'Sample Drivers'!$AB$98</definedName>
    <definedName name="smp_equity_contr">'Sample Drivers'!$E$99:'Sample Drivers'!$AB$99</definedName>
    <definedName name="smp_flc_per_fte">'Sample Drivers'!$C$39</definedName>
    <definedName name="smp_fy_start_month">'Sample Model'!$AA$2</definedName>
    <definedName name="smp_fy_start_text">'Sample Model'!$Z$2</definedName>
    <definedName name="smp_headcount">'Sample Drivers'!$C$38</definedName>
    <definedName name="smp_horizon">'Sample Model'!$W$5</definedName>
    <definedName name="smp_int_rate">'Sample Drivers'!$C$37</definedName>
    <definedName name="smp_open_ap">'Sample Drivers'!$C$22</definedName>
    <definedName name="smp_open_ar">'Sample Drivers'!$C$19</definedName>
    <definedName name="smp_open_cash">'Sample Drivers'!$C$18</definedName>
    <definedName name="smp_open_debt">'Sample Drivers'!$C$25</definedName>
    <definedName name="smp_open_fa">'Sample Drivers'!$C$21</definedName>
    <definedName name="smp_open_oca">'Sample Drivers'!$C$20</definedName>
    <definedName name="smp_open_ocl">'Sample Drivers'!$C$23</definedName>
    <definedName name="smp_open_re">'Sample Drivers'!$C$27</definedName>
    <definedName name="smp_open_sc">'Sample Drivers'!$C$26</definedName>
    <definedName name="smp_open_tax_pay">'Sample Drivers'!$C$24</definedName>
    <definedName name="smp_other_ca">'Sample Drivers'!$C$33</definedName>
    <definedName name="smp_other_cl">'Sample Drivers'!$C$34</definedName>
    <definedName name="smp_ox_insurance">'Sample Drivers'!$E$80:'Sample Drivers'!$AB$80</definedName>
    <definedName name="smp_ox_other">'Sample Drivers'!$E$81:'Sample Drivers'!$AB$81</definedName>
    <definedName name="smp_ox_payroll">'Sample Drivers'!$E$75:'Sample Drivers'!$AB$75</definedName>
    <definedName name="smp_ox_prof_fees">'Sample Drivers'!$E$79:'Sample Drivers'!$AB$79</definedName>
    <definedName name="smp_ox_rent">'Sample Drivers'!$E$76:'Sample Drivers'!$AB$76</definedName>
    <definedName name="smp_ox_sales_mktg">'Sample Drivers'!$E$78:'Sample Drivers'!$AB$78</definedName>
    <definedName name="smp_ox_software">'Sample Drivers'!$E$77:'Sample Drivers'!$AB$77</definedName>
    <definedName name="smp_rev_sl1">'Sample Drivers'!$E$48:'Sample Drivers'!$AB$48</definedName>
    <definedName name="smp_rev_sl2">'Sample Drivers'!$E$52:'Sample Drivers'!$AB$52</definedName>
    <definedName name="smp_rev_sl3">'Sample Drivers'!$E$56:'Sample Drivers'!$AB$56</definedName>
    <definedName name="smp_rev_sl4">'Sample Drivers'!$E$60:'Sample Drivers'!$AB$60</definedName>
    <definedName name="smp_rev_sl5">'Sample Drivers'!$E$64:'Sample Drivers'!$AB$64</definedName>
    <definedName name="smp_scenario">'Sample Model'!$W$3</definedName>
    <definedName name="smp_sl1_name">'Sample Drivers'!$C$46</definedName>
    <definedName name="smp_sl2_name">'Sample Drivers'!$C$50</definedName>
    <definedName name="smp_sl3_name">'Sample Drivers'!$C$54</definedName>
    <definedName name="smp_sl4_name">'Sample Drivers'!$C$58</definedName>
    <definedName name="smp_sl5_name">'Sample Drivers'!$C$62</definedName>
    <definedName name="smp_tax_pay_pct">'Sample Drivers'!$E$103:'Sample Drivers'!$AB$103</definedName>
    <definedName name="smp_tax_rate">'Sample Drivers'!$C$40</definedName>
    <definedName name="smp_view">'Sample Model'!$W$4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5" i="6" l="1"/>
  <c r="C14" i="6"/>
  <c r="C13" i="6"/>
  <c r="C12" i="2"/>
  <c r="C12" i="6"/>
  <c r="C27" i="6"/>
  <c r="E75" i="2"/>
  <c r="F75" i="2"/>
  <c r="G75" i="2"/>
  <c r="H75" i="2"/>
  <c r="I75" i="2"/>
  <c r="J75" i="2"/>
  <c r="K75" i="2"/>
  <c r="L75" i="2"/>
  <c r="M75" i="2"/>
  <c r="N75" i="2"/>
  <c r="O75" i="2"/>
  <c r="P75" i="2"/>
  <c r="Q75" i="2"/>
  <c r="R75" i="2"/>
  <c r="S75" i="2"/>
  <c r="T75" i="2"/>
  <c r="U75" i="2"/>
  <c r="V75" i="2"/>
  <c r="W75" i="2"/>
  <c r="X75" i="2"/>
  <c r="Y75" i="2"/>
  <c r="Z75" i="2"/>
  <c r="AA75" i="2"/>
  <c r="AB75" i="2"/>
  <c r="F11" i="2"/>
  <c r="F75" i="6"/>
  <c r="G75" i="6"/>
  <c r="H75" i="6"/>
  <c r="I75" i="6"/>
  <c r="J75" i="6"/>
  <c r="K75" i="6"/>
  <c r="L75" i="6"/>
  <c r="M75" i="6"/>
  <c r="N75" i="6"/>
  <c r="O75" i="6"/>
  <c r="P75" i="6"/>
  <c r="Q75" i="6"/>
  <c r="R75" i="6"/>
  <c r="S75" i="6"/>
  <c r="T75" i="6"/>
  <c r="U75" i="6"/>
  <c r="V75" i="6"/>
  <c r="W75" i="6"/>
  <c r="X75" i="6"/>
  <c r="Y75" i="6"/>
  <c r="Z75" i="6"/>
  <c r="AA75" i="6"/>
  <c r="AB75" i="6"/>
  <c r="E75" i="6"/>
  <c r="AC103" i="6"/>
  <c r="AC99" i="6"/>
  <c r="AC98" i="6"/>
  <c r="AC94" i="6"/>
  <c r="AC93" i="6"/>
  <c r="AC89" i="6"/>
  <c r="AC85" i="6"/>
  <c r="AC81" i="6"/>
  <c r="AC80" i="6"/>
  <c r="AC79" i="6"/>
  <c r="AC78" i="6"/>
  <c r="AC77" i="6"/>
  <c r="AC76" i="6"/>
  <c r="AC71" i="6"/>
  <c r="AC70" i="6"/>
  <c r="AC69" i="6"/>
  <c r="AC68" i="6"/>
  <c r="AC64" i="6"/>
  <c r="AC60" i="6"/>
  <c r="AC56" i="6"/>
  <c r="AC52" i="6"/>
  <c r="AC48" i="6"/>
  <c r="F11" i="6"/>
  <c r="AA2" i="3" a="1"/>
  <c r="C27" i="2"/>
  <c r="CG263" i="3"/>
  <c r="BF263" i="3"/>
  <c r="AE263" i="3"/>
  <c r="CG253" i="3"/>
  <c r="BF253" i="3"/>
  <c r="AE253" i="3"/>
  <c r="CG247" i="3"/>
  <c r="BF247" i="3"/>
  <c r="AE247" i="3"/>
  <c r="DD244" i="3"/>
  <c r="DC244" i="3"/>
  <c r="DB244" i="3"/>
  <c r="DA244" i="3"/>
  <c r="CZ244" i="3"/>
  <c r="CY244" i="3"/>
  <c r="CX244" i="3"/>
  <c r="CW244" i="3"/>
  <c r="CV244" i="3"/>
  <c r="CU244" i="3"/>
  <c r="CT244" i="3"/>
  <c r="CS244" i="3"/>
  <c r="CR244" i="3"/>
  <c r="CQ244" i="3"/>
  <c r="CP244" i="3"/>
  <c r="CO244" i="3"/>
  <c r="CN244" i="3"/>
  <c r="CM244" i="3"/>
  <c r="CL244" i="3"/>
  <c r="CK244" i="3"/>
  <c r="CJ244" i="3"/>
  <c r="CI244" i="3"/>
  <c r="CH244" i="3"/>
  <c r="CG244" i="3"/>
  <c r="CC244" i="3"/>
  <c r="CB244" i="3"/>
  <c r="CA244" i="3"/>
  <c r="BZ244" i="3"/>
  <c r="BY244" i="3"/>
  <c r="BX244" i="3"/>
  <c r="BW244" i="3"/>
  <c r="BV244" i="3"/>
  <c r="BU244" i="3"/>
  <c r="BT244" i="3"/>
  <c r="BS244" i="3"/>
  <c r="BR244" i="3"/>
  <c r="BQ244" i="3"/>
  <c r="BP244" i="3"/>
  <c r="BO244" i="3"/>
  <c r="BN244" i="3"/>
  <c r="BM244" i="3"/>
  <c r="BL244" i="3"/>
  <c r="BK244" i="3"/>
  <c r="BJ244" i="3"/>
  <c r="BI244" i="3"/>
  <c r="BH244" i="3"/>
  <c r="BG244" i="3"/>
  <c r="BF244" i="3"/>
  <c r="BB244" i="3"/>
  <c r="BA244" i="3"/>
  <c r="AZ244" i="3"/>
  <c r="AY244" i="3"/>
  <c r="AX244" i="3"/>
  <c r="AW244" i="3"/>
  <c r="AV244" i="3"/>
  <c r="AU244" i="3"/>
  <c r="AT244" i="3"/>
  <c r="AS244" i="3"/>
  <c r="AR244" i="3"/>
  <c r="AQ244" i="3"/>
  <c r="AP244" i="3"/>
  <c r="AO244" i="3"/>
  <c r="AN244" i="3"/>
  <c r="AM244" i="3"/>
  <c r="AL244" i="3"/>
  <c r="AK244" i="3"/>
  <c r="AJ244" i="3"/>
  <c r="AI244" i="3"/>
  <c r="AH244" i="3"/>
  <c r="AG244" i="3"/>
  <c r="AF244" i="3"/>
  <c r="AE244" i="3"/>
  <c r="DD243" i="3"/>
  <c r="DC243" i="3"/>
  <c r="DB243" i="3"/>
  <c r="DA243" i="3"/>
  <c r="CZ243" i="3"/>
  <c r="CY243" i="3"/>
  <c r="CX243" i="3"/>
  <c r="CW243" i="3"/>
  <c r="CV243" i="3"/>
  <c r="CU243" i="3"/>
  <c r="CT243" i="3"/>
  <c r="CS243" i="3"/>
  <c r="CR243" i="3"/>
  <c r="CQ243" i="3"/>
  <c r="CP243" i="3"/>
  <c r="CO243" i="3"/>
  <c r="CN243" i="3"/>
  <c r="CM243" i="3"/>
  <c r="CL243" i="3"/>
  <c r="CK243" i="3"/>
  <c r="CJ243" i="3"/>
  <c r="CI243" i="3"/>
  <c r="CH243" i="3"/>
  <c r="CG243" i="3"/>
  <c r="CC243" i="3"/>
  <c r="CB243" i="3"/>
  <c r="CA243" i="3"/>
  <c r="BZ243" i="3"/>
  <c r="BY243" i="3"/>
  <c r="BX243" i="3"/>
  <c r="BW243" i="3"/>
  <c r="BV243" i="3"/>
  <c r="BU243" i="3"/>
  <c r="BT243" i="3"/>
  <c r="BS243" i="3"/>
  <c r="BR243" i="3"/>
  <c r="BQ243" i="3"/>
  <c r="BP243" i="3"/>
  <c r="BO243" i="3"/>
  <c r="BN243" i="3"/>
  <c r="BM243" i="3"/>
  <c r="BL243" i="3"/>
  <c r="BK243" i="3"/>
  <c r="BJ243" i="3"/>
  <c r="BI243" i="3"/>
  <c r="BH243" i="3"/>
  <c r="BG243" i="3"/>
  <c r="BF243" i="3"/>
  <c r="BB243" i="3"/>
  <c r="BA243" i="3"/>
  <c r="AZ243" i="3"/>
  <c r="AY243" i="3"/>
  <c r="AX243" i="3"/>
  <c r="AW243" i="3"/>
  <c r="AV243" i="3"/>
  <c r="AU243" i="3"/>
  <c r="AT243" i="3"/>
  <c r="AS243" i="3"/>
  <c r="AR243" i="3"/>
  <c r="AQ243" i="3"/>
  <c r="AP243" i="3"/>
  <c r="AO243" i="3"/>
  <c r="AN243" i="3"/>
  <c r="AM243" i="3"/>
  <c r="AL243" i="3"/>
  <c r="AK243" i="3"/>
  <c r="AJ243" i="3"/>
  <c r="AI243" i="3"/>
  <c r="AH243" i="3"/>
  <c r="AG243" i="3"/>
  <c r="AF243" i="3"/>
  <c r="AE243" i="3"/>
  <c r="DD242" i="3"/>
  <c r="DC242" i="3"/>
  <c r="DB242" i="3"/>
  <c r="DA242" i="3"/>
  <c r="CZ242" i="3"/>
  <c r="CY242" i="3"/>
  <c r="CX242" i="3"/>
  <c r="CW242" i="3"/>
  <c r="CV242" i="3"/>
  <c r="CU242" i="3"/>
  <c r="CT242" i="3"/>
  <c r="CS242" i="3"/>
  <c r="CR242" i="3"/>
  <c r="CQ242" i="3"/>
  <c r="CP242" i="3"/>
  <c r="CO242" i="3"/>
  <c r="CN242" i="3"/>
  <c r="CM242" i="3"/>
  <c r="CL242" i="3"/>
  <c r="CK242" i="3"/>
  <c r="CJ242" i="3"/>
  <c r="CI242" i="3"/>
  <c r="CH242" i="3"/>
  <c r="CG242" i="3"/>
  <c r="CC242" i="3"/>
  <c r="CB242" i="3"/>
  <c r="CA242" i="3"/>
  <c r="BZ242" i="3"/>
  <c r="BY242" i="3"/>
  <c r="BX242" i="3"/>
  <c r="BW242" i="3"/>
  <c r="BV242" i="3"/>
  <c r="BU242" i="3"/>
  <c r="BT242" i="3"/>
  <c r="BS242" i="3"/>
  <c r="BR242" i="3"/>
  <c r="BQ242" i="3"/>
  <c r="BP242" i="3"/>
  <c r="BO242" i="3"/>
  <c r="BN242" i="3"/>
  <c r="BM242" i="3"/>
  <c r="BL242" i="3"/>
  <c r="BK242" i="3"/>
  <c r="BJ242" i="3"/>
  <c r="BI242" i="3"/>
  <c r="BH242" i="3"/>
  <c r="BG242" i="3"/>
  <c r="BF242" i="3"/>
  <c r="BB242" i="3"/>
  <c r="BA242" i="3"/>
  <c r="AZ242" i="3"/>
  <c r="AY242" i="3"/>
  <c r="AX242" i="3"/>
  <c r="AW242" i="3"/>
  <c r="AV242" i="3"/>
  <c r="AU242" i="3"/>
  <c r="AT242" i="3"/>
  <c r="AS242" i="3"/>
  <c r="AR242" i="3"/>
  <c r="AQ242" i="3"/>
  <c r="AP242" i="3"/>
  <c r="AO242" i="3"/>
  <c r="AN242" i="3"/>
  <c r="AM242" i="3"/>
  <c r="AL242" i="3"/>
  <c r="AK242" i="3"/>
  <c r="AJ242" i="3"/>
  <c r="AI242" i="3"/>
  <c r="AH242" i="3"/>
  <c r="AG242" i="3"/>
  <c r="AF242" i="3"/>
  <c r="AE242" i="3"/>
  <c r="DD241" i="3"/>
  <c r="DC241" i="3"/>
  <c r="DB241" i="3"/>
  <c r="DA241" i="3"/>
  <c r="CZ241" i="3"/>
  <c r="CY241" i="3"/>
  <c r="CX241" i="3"/>
  <c r="CW241" i="3"/>
  <c r="CV241" i="3"/>
  <c r="CU241" i="3"/>
  <c r="CT241" i="3"/>
  <c r="CS241" i="3"/>
  <c r="CR241" i="3"/>
  <c r="CQ241" i="3"/>
  <c r="CP241" i="3"/>
  <c r="CO241" i="3"/>
  <c r="CN241" i="3"/>
  <c r="CM241" i="3"/>
  <c r="CL241" i="3"/>
  <c r="CK241" i="3"/>
  <c r="CJ241" i="3"/>
  <c r="CI241" i="3"/>
  <c r="CH241" i="3"/>
  <c r="CG241" i="3"/>
  <c r="CC241" i="3"/>
  <c r="CB241" i="3"/>
  <c r="CA241" i="3"/>
  <c r="BZ241" i="3"/>
  <c r="BY241" i="3"/>
  <c r="BX241" i="3"/>
  <c r="BW241" i="3"/>
  <c r="BV241" i="3"/>
  <c r="BU241" i="3"/>
  <c r="BT241" i="3"/>
  <c r="BS241" i="3"/>
  <c r="BR241" i="3"/>
  <c r="BQ241" i="3"/>
  <c r="BP241" i="3"/>
  <c r="BO241" i="3"/>
  <c r="BN241" i="3"/>
  <c r="BM241" i="3"/>
  <c r="BL241" i="3"/>
  <c r="BK241" i="3"/>
  <c r="BJ241" i="3"/>
  <c r="BI241" i="3"/>
  <c r="BH241" i="3"/>
  <c r="BG241" i="3"/>
  <c r="BF241" i="3"/>
  <c r="BB241" i="3"/>
  <c r="BA241" i="3"/>
  <c r="AZ241" i="3"/>
  <c r="AY241" i="3"/>
  <c r="AX241" i="3"/>
  <c r="AW241" i="3"/>
  <c r="AV241" i="3"/>
  <c r="AU241" i="3"/>
  <c r="AT241" i="3"/>
  <c r="AS241" i="3"/>
  <c r="AR241" i="3"/>
  <c r="AQ241" i="3"/>
  <c r="AP241" i="3"/>
  <c r="AO241" i="3"/>
  <c r="AN241" i="3"/>
  <c r="AM241" i="3"/>
  <c r="AL241" i="3"/>
  <c r="AK241" i="3"/>
  <c r="AJ241" i="3"/>
  <c r="AI241" i="3"/>
  <c r="AH241" i="3"/>
  <c r="AG241" i="3"/>
  <c r="AF241" i="3"/>
  <c r="AE241" i="3"/>
  <c r="DD239" i="3"/>
  <c r="DC239" i="3"/>
  <c r="DB239" i="3"/>
  <c r="DA239" i="3"/>
  <c r="CZ239" i="3"/>
  <c r="CY239" i="3"/>
  <c r="CX239" i="3"/>
  <c r="CW239" i="3"/>
  <c r="CV239" i="3"/>
  <c r="CU239" i="3"/>
  <c r="CT239" i="3"/>
  <c r="CS239" i="3"/>
  <c r="CR239" i="3"/>
  <c r="CQ239" i="3"/>
  <c r="CP239" i="3"/>
  <c r="CO239" i="3"/>
  <c r="CN239" i="3"/>
  <c r="CM239" i="3"/>
  <c r="CL239" i="3"/>
  <c r="CK239" i="3"/>
  <c r="CJ239" i="3"/>
  <c r="CI239" i="3"/>
  <c r="CH239" i="3"/>
  <c r="CG239" i="3"/>
  <c r="CC239" i="3"/>
  <c r="CB239" i="3"/>
  <c r="CA239" i="3"/>
  <c r="BZ239" i="3"/>
  <c r="BY239" i="3"/>
  <c r="BX239" i="3"/>
  <c r="BW239" i="3"/>
  <c r="BV239" i="3"/>
  <c r="BU239" i="3"/>
  <c r="BT239" i="3"/>
  <c r="BS239" i="3"/>
  <c r="BR239" i="3"/>
  <c r="BQ239" i="3"/>
  <c r="BP239" i="3"/>
  <c r="BO239" i="3"/>
  <c r="BN239" i="3"/>
  <c r="BM239" i="3"/>
  <c r="BL239" i="3"/>
  <c r="BK239" i="3"/>
  <c r="BJ239" i="3"/>
  <c r="BI239" i="3"/>
  <c r="BH239" i="3"/>
  <c r="BG239" i="3"/>
  <c r="BF239" i="3"/>
  <c r="BB239" i="3"/>
  <c r="BA239" i="3"/>
  <c r="AZ239" i="3"/>
  <c r="AY239" i="3"/>
  <c r="AX239" i="3"/>
  <c r="AW239" i="3"/>
  <c r="AV239" i="3"/>
  <c r="AU239" i="3"/>
  <c r="AT239" i="3"/>
  <c r="AS239" i="3"/>
  <c r="AR239" i="3"/>
  <c r="AQ239" i="3"/>
  <c r="AP239" i="3"/>
  <c r="AO239" i="3"/>
  <c r="AN239" i="3"/>
  <c r="AM239" i="3"/>
  <c r="AL239" i="3"/>
  <c r="AK239" i="3"/>
  <c r="AJ239" i="3"/>
  <c r="AI239" i="3"/>
  <c r="AH239" i="3"/>
  <c r="AG239" i="3"/>
  <c r="AF239" i="3"/>
  <c r="AE239" i="3"/>
  <c r="CG234" i="3"/>
  <c r="BF234" i="3"/>
  <c r="AE234" i="3"/>
  <c r="DD231" i="3"/>
  <c r="DC231" i="3"/>
  <c r="DB231" i="3"/>
  <c r="DA231" i="3"/>
  <c r="CZ231" i="3"/>
  <c r="CY231" i="3"/>
  <c r="CX231" i="3"/>
  <c r="CW231" i="3"/>
  <c r="CV231" i="3"/>
  <c r="CU231" i="3"/>
  <c r="CT231" i="3"/>
  <c r="CS231" i="3"/>
  <c r="CR231" i="3"/>
  <c r="CQ231" i="3"/>
  <c r="CP231" i="3"/>
  <c r="CO231" i="3"/>
  <c r="CN231" i="3"/>
  <c r="CM231" i="3"/>
  <c r="CL231" i="3"/>
  <c r="CK231" i="3"/>
  <c r="CJ231" i="3"/>
  <c r="CI231" i="3"/>
  <c r="CH231" i="3"/>
  <c r="CG231" i="3"/>
  <c r="CC231" i="3"/>
  <c r="CB231" i="3"/>
  <c r="CA231" i="3"/>
  <c r="BZ231" i="3"/>
  <c r="BY231" i="3"/>
  <c r="BX231" i="3"/>
  <c r="BW231" i="3"/>
  <c r="BV231" i="3"/>
  <c r="BU231" i="3"/>
  <c r="BT231" i="3"/>
  <c r="BS231" i="3"/>
  <c r="BR231" i="3"/>
  <c r="BQ231" i="3"/>
  <c r="BP231" i="3"/>
  <c r="BO231" i="3"/>
  <c r="BN231" i="3"/>
  <c r="BM231" i="3"/>
  <c r="BL231" i="3"/>
  <c r="BK231" i="3"/>
  <c r="BJ231" i="3"/>
  <c r="BI231" i="3"/>
  <c r="BH231" i="3"/>
  <c r="BG231" i="3"/>
  <c r="BF231" i="3"/>
  <c r="BB231" i="3"/>
  <c r="BA231" i="3"/>
  <c r="AZ231" i="3"/>
  <c r="AY231" i="3"/>
  <c r="AX231" i="3"/>
  <c r="AW231" i="3"/>
  <c r="AV231" i="3"/>
  <c r="AU231" i="3"/>
  <c r="AT231" i="3"/>
  <c r="AS231" i="3"/>
  <c r="AR231" i="3"/>
  <c r="AQ231" i="3"/>
  <c r="AP231" i="3"/>
  <c r="AO231" i="3"/>
  <c r="AN231" i="3"/>
  <c r="AM231" i="3"/>
  <c r="AL231" i="3"/>
  <c r="AK231" i="3"/>
  <c r="AJ231" i="3"/>
  <c r="AI231" i="3"/>
  <c r="AH231" i="3"/>
  <c r="AG231" i="3"/>
  <c r="AF231" i="3"/>
  <c r="AE231" i="3"/>
  <c r="CG230" i="3"/>
  <c r="BF230" i="3"/>
  <c r="AZ230" i="3"/>
  <c r="AY230" i="3"/>
  <c r="AX230" i="3"/>
  <c r="AW230" i="3"/>
  <c r="AV230" i="3"/>
  <c r="AU230" i="3"/>
  <c r="AT230" i="3"/>
  <c r="AS230" i="3"/>
  <c r="AR230" i="3"/>
  <c r="AQ230" i="3"/>
  <c r="AP230" i="3"/>
  <c r="AO230" i="3"/>
  <c r="AN230" i="3"/>
  <c r="AM230" i="3"/>
  <c r="AL230" i="3"/>
  <c r="AK230" i="3"/>
  <c r="AJ230" i="3"/>
  <c r="AI230" i="3"/>
  <c r="AH230" i="3"/>
  <c r="AG230" i="3"/>
  <c r="AF230" i="3"/>
  <c r="AE230" i="3"/>
  <c r="DD228" i="3"/>
  <c r="DC228" i="3"/>
  <c r="DB228" i="3"/>
  <c r="DA228" i="3"/>
  <c r="CZ228" i="3"/>
  <c r="CY228" i="3"/>
  <c r="CX228" i="3"/>
  <c r="CW228" i="3"/>
  <c r="CV228" i="3"/>
  <c r="CU228" i="3"/>
  <c r="CT228" i="3"/>
  <c r="CS228" i="3"/>
  <c r="CR228" i="3"/>
  <c r="CQ228" i="3"/>
  <c r="CP228" i="3"/>
  <c r="CO228" i="3"/>
  <c r="CN228" i="3"/>
  <c r="CM228" i="3"/>
  <c r="CL228" i="3"/>
  <c r="CK228" i="3"/>
  <c r="CJ228" i="3"/>
  <c r="CI228" i="3"/>
  <c r="CH228" i="3"/>
  <c r="CG228" i="3"/>
  <c r="CC228" i="3"/>
  <c r="CB228" i="3"/>
  <c r="CA228" i="3"/>
  <c r="BZ228" i="3"/>
  <c r="BY228" i="3"/>
  <c r="BX228" i="3"/>
  <c r="BW228" i="3"/>
  <c r="BV228" i="3"/>
  <c r="BU228" i="3"/>
  <c r="BT228" i="3"/>
  <c r="BS228" i="3"/>
  <c r="BR228" i="3"/>
  <c r="BQ228" i="3"/>
  <c r="BP228" i="3"/>
  <c r="BO228" i="3"/>
  <c r="BN228" i="3"/>
  <c r="BM228" i="3"/>
  <c r="BL228" i="3"/>
  <c r="BK228" i="3"/>
  <c r="BJ228" i="3"/>
  <c r="BI228" i="3"/>
  <c r="BH228" i="3"/>
  <c r="BG228" i="3"/>
  <c r="BF228" i="3"/>
  <c r="BB228" i="3"/>
  <c r="BA228" i="3"/>
  <c r="AZ228" i="3"/>
  <c r="AY228" i="3"/>
  <c r="AX228" i="3"/>
  <c r="AW228" i="3"/>
  <c r="AV228" i="3"/>
  <c r="AU228" i="3"/>
  <c r="AT228" i="3"/>
  <c r="AS228" i="3"/>
  <c r="AR228" i="3"/>
  <c r="AQ228" i="3"/>
  <c r="AP228" i="3"/>
  <c r="AO228" i="3"/>
  <c r="AN228" i="3"/>
  <c r="AM228" i="3"/>
  <c r="AL228" i="3"/>
  <c r="AK228" i="3"/>
  <c r="AJ228" i="3"/>
  <c r="AI228" i="3"/>
  <c r="AH228" i="3"/>
  <c r="AG228" i="3"/>
  <c r="AF228" i="3"/>
  <c r="AE228" i="3"/>
  <c r="CG227" i="3"/>
  <c r="BF227" i="3"/>
  <c r="AE227" i="3"/>
  <c r="CG224" i="3"/>
  <c r="BF224" i="3"/>
  <c r="AE224" i="3"/>
  <c r="CG221" i="3"/>
  <c r="BF221" i="3"/>
  <c r="AE221" i="3"/>
  <c r="CG215" i="3"/>
  <c r="BF215" i="3"/>
  <c r="AE215" i="3"/>
  <c r="DD213" i="3"/>
  <c r="DC213" i="3"/>
  <c r="DB213" i="3"/>
  <c r="DA213" i="3"/>
  <c r="CZ213" i="3"/>
  <c r="CY213" i="3"/>
  <c r="CX213" i="3"/>
  <c r="CW213" i="3"/>
  <c r="CV213" i="3"/>
  <c r="CU213" i="3"/>
  <c r="CT213" i="3"/>
  <c r="CS213" i="3"/>
  <c r="CR213" i="3"/>
  <c r="CQ213" i="3"/>
  <c r="CP213" i="3"/>
  <c r="CO213" i="3"/>
  <c r="CN213" i="3"/>
  <c r="CM213" i="3"/>
  <c r="CL213" i="3"/>
  <c r="CK213" i="3"/>
  <c r="CJ213" i="3"/>
  <c r="CI213" i="3"/>
  <c r="CH213" i="3"/>
  <c r="CG213" i="3"/>
  <c r="CC213" i="3"/>
  <c r="CB213" i="3"/>
  <c r="CA213" i="3"/>
  <c r="BZ213" i="3"/>
  <c r="BY213" i="3"/>
  <c r="BX213" i="3"/>
  <c r="BW213" i="3"/>
  <c r="BV213" i="3"/>
  <c r="BU213" i="3"/>
  <c r="BT213" i="3"/>
  <c r="BS213" i="3"/>
  <c r="BR213" i="3"/>
  <c r="BQ213" i="3"/>
  <c r="BP213" i="3"/>
  <c r="BO213" i="3"/>
  <c r="BN213" i="3"/>
  <c r="BM213" i="3"/>
  <c r="BL213" i="3"/>
  <c r="BK213" i="3"/>
  <c r="BJ213" i="3"/>
  <c r="BI213" i="3"/>
  <c r="BH213" i="3"/>
  <c r="BG213" i="3"/>
  <c r="BF213" i="3"/>
  <c r="BB213" i="3"/>
  <c r="BA213" i="3"/>
  <c r="AZ213" i="3"/>
  <c r="AY213" i="3"/>
  <c r="AX213" i="3"/>
  <c r="AW213" i="3"/>
  <c r="AV213" i="3"/>
  <c r="AU213" i="3"/>
  <c r="AT213" i="3"/>
  <c r="AS213" i="3"/>
  <c r="AR213" i="3"/>
  <c r="AQ213" i="3"/>
  <c r="AP213" i="3"/>
  <c r="AO213" i="3"/>
  <c r="AN213" i="3"/>
  <c r="AM213" i="3"/>
  <c r="AL213" i="3"/>
  <c r="AK213" i="3"/>
  <c r="AJ213" i="3"/>
  <c r="AI213" i="3"/>
  <c r="AH213" i="3"/>
  <c r="AG213" i="3"/>
  <c r="AF213" i="3"/>
  <c r="AE213" i="3"/>
  <c r="DD209" i="3"/>
  <c r="DC209" i="3"/>
  <c r="DB209" i="3"/>
  <c r="DA209" i="3"/>
  <c r="CZ209" i="3"/>
  <c r="CY209" i="3"/>
  <c r="CX209" i="3"/>
  <c r="CW209" i="3"/>
  <c r="CV209" i="3"/>
  <c r="CU209" i="3"/>
  <c r="CT209" i="3"/>
  <c r="CS209" i="3"/>
  <c r="CR209" i="3"/>
  <c r="CQ209" i="3"/>
  <c r="CP209" i="3"/>
  <c r="CO209" i="3"/>
  <c r="CN209" i="3"/>
  <c r="CM209" i="3"/>
  <c r="CL209" i="3"/>
  <c r="CK209" i="3"/>
  <c r="CJ209" i="3"/>
  <c r="CI209" i="3"/>
  <c r="CH209" i="3"/>
  <c r="CG209" i="3"/>
  <c r="CC209" i="3"/>
  <c r="CB209" i="3"/>
  <c r="CA209" i="3"/>
  <c r="BZ209" i="3"/>
  <c r="BY209" i="3"/>
  <c r="BX209" i="3"/>
  <c r="BW209" i="3"/>
  <c r="BV209" i="3"/>
  <c r="BU209" i="3"/>
  <c r="BT209" i="3"/>
  <c r="BS209" i="3"/>
  <c r="BR209" i="3"/>
  <c r="BQ209" i="3"/>
  <c r="BP209" i="3"/>
  <c r="BO209" i="3"/>
  <c r="BN209" i="3"/>
  <c r="BM209" i="3"/>
  <c r="BL209" i="3"/>
  <c r="BK209" i="3"/>
  <c r="BJ209" i="3"/>
  <c r="BI209" i="3"/>
  <c r="BH209" i="3"/>
  <c r="BG209" i="3"/>
  <c r="BF209" i="3"/>
  <c r="BB209" i="3"/>
  <c r="BA209" i="3"/>
  <c r="AZ209" i="3"/>
  <c r="AY209" i="3"/>
  <c r="AX209" i="3"/>
  <c r="AW209" i="3"/>
  <c r="AV209" i="3"/>
  <c r="AU209" i="3"/>
  <c r="AT209" i="3"/>
  <c r="AS209" i="3"/>
  <c r="AR209" i="3"/>
  <c r="AQ209" i="3"/>
  <c r="AP209" i="3"/>
  <c r="AO209" i="3"/>
  <c r="AN209" i="3"/>
  <c r="AM209" i="3"/>
  <c r="AL209" i="3"/>
  <c r="AK209" i="3"/>
  <c r="AJ209" i="3"/>
  <c r="AI209" i="3"/>
  <c r="AH209" i="3"/>
  <c r="AG209" i="3"/>
  <c r="AF209" i="3"/>
  <c r="AE209" i="3"/>
  <c r="DD208" i="3"/>
  <c r="DC208" i="3"/>
  <c r="DB208" i="3"/>
  <c r="DA208" i="3"/>
  <c r="CZ208" i="3"/>
  <c r="CY208" i="3"/>
  <c r="CX208" i="3"/>
  <c r="CW208" i="3"/>
  <c r="CV208" i="3"/>
  <c r="CU208" i="3"/>
  <c r="CT208" i="3"/>
  <c r="CS208" i="3"/>
  <c r="CR208" i="3"/>
  <c r="CQ208" i="3"/>
  <c r="CP208" i="3"/>
  <c r="CO208" i="3"/>
  <c r="CN208" i="3"/>
  <c r="CM208" i="3"/>
  <c r="CL208" i="3"/>
  <c r="CK208" i="3"/>
  <c r="CJ208" i="3"/>
  <c r="CI208" i="3"/>
  <c r="CH208" i="3"/>
  <c r="CG208" i="3"/>
  <c r="CC208" i="3"/>
  <c r="CB208" i="3"/>
  <c r="CA208" i="3"/>
  <c r="BZ208" i="3"/>
  <c r="BY208" i="3"/>
  <c r="BX208" i="3"/>
  <c r="BW208" i="3"/>
  <c r="BV208" i="3"/>
  <c r="BU208" i="3"/>
  <c r="BT208" i="3"/>
  <c r="BS208" i="3"/>
  <c r="BR208" i="3"/>
  <c r="BQ208" i="3"/>
  <c r="BP208" i="3"/>
  <c r="BO208" i="3"/>
  <c r="BN208" i="3"/>
  <c r="BM208" i="3"/>
  <c r="BL208" i="3"/>
  <c r="BK208" i="3"/>
  <c r="BJ208" i="3"/>
  <c r="BI208" i="3"/>
  <c r="BH208" i="3"/>
  <c r="BG208" i="3"/>
  <c r="BF208" i="3"/>
  <c r="BB208" i="3"/>
  <c r="BA208" i="3"/>
  <c r="AZ208" i="3"/>
  <c r="AY208" i="3"/>
  <c r="AX208" i="3"/>
  <c r="AW208" i="3"/>
  <c r="AV208" i="3"/>
  <c r="AU208" i="3"/>
  <c r="AT208" i="3"/>
  <c r="AS208" i="3"/>
  <c r="AR208" i="3"/>
  <c r="AQ208" i="3"/>
  <c r="AP208" i="3"/>
  <c r="AO208" i="3"/>
  <c r="AN208" i="3"/>
  <c r="AM208" i="3"/>
  <c r="AL208" i="3"/>
  <c r="AK208" i="3"/>
  <c r="AJ208" i="3"/>
  <c r="AI208" i="3"/>
  <c r="AH208" i="3"/>
  <c r="AG208" i="3"/>
  <c r="AF208" i="3"/>
  <c r="AE208" i="3"/>
  <c r="DD207" i="3"/>
  <c r="DC207" i="3"/>
  <c r="DB207" i="3"/>
  <c r="DA207" i="3"/>
  <c r="CZ207" i="3"/>
  <c r="CY207" i="3"/>
  <c r="CX207" i="3"/>
  <c r="CW207" i="3"/>
  <c r="CV207" i="3"/>
  <c r="CU207" i="3"/>
  <c r="CT207" i="3"/>
  <c r="CS207" i="3"/>
  <c r="CR207" i="3"/>
  <c r="CQ207" i="3"/>
  <c r="CP207" i="3"/>
  <c r="CO207" i="3"/>
  <c r="CN207" i="3"/>
  <c r="CM207" i="3"/>
  <c r="CL207" i="3"/>
  <c r="CK207" i="3"/>
  <c r="CJ207" i="3"/>
  <c r="CI207" i="3"/>
  <c r="CH207" i="3"/>
  <c r="CG207" i="3"/>
  <c r="CC207" i="3"/>
  <c r="CB207" i="3"/>
  <c r="CA207" i="3"/>
  <c r="BZ207" i="3"/>
  <c r="BY207" i="3"/>
  <c r="BX207" i="3"/>
  <c r="BW207" i="3"/>
  <c r="BV207" i="3"/>
  <c r="BU207" i="3"/>
  <c r="BT207" i="3"/>
  <c r="BS207" i="3"/>
  <c r="BR207" i="3"/>
  <c r="BQ207" i="3"/>
  <c r="BP207" i="3"/>
  <c r="BO207" i="3"/>
  <c r="BN207" i="3"/>
  <c r="BM207" i="3"/>
  <c r="BL207" i="3"/>
  <c r="BK207" i="3"/>
  <c r="BJ207" i="3"/>
  <c r="BI207" i="3"/>
  <c r="BH207" i="3"/>
  <c r="BG207" i="3"/>
  <c r="BF207" i="3"/>
  <c r="BB207" i="3"/>
  <c r="BA207" i="3"/>
  <c r="AZ207" i="3"/>
  <c r="AY207" i="3"/>
  <c r="AX207" i="3"/>
  <c r="AW207" i="3"/>
  <c r="AV207" i="3"/>
  <c r="AU207" i="3"/>
  <c r="AT207" i="3"/>
  <c r="AS207" i="3"/>
  <c r="AR207" i="3"/>
  <c r="AQ207" i="3"/>
  <c r="AP207" i="3"/>
  <c r="AO207" i="3"/>
  <c r="AN207" i="3"/>
  <c r="AM207" i="3"/>
  <c r="AL207" i="3"/>
  <c r="AK207" i="3"/>
  <c r="AJ207" i="3"/>
  <c r="AI207" i="3"/>
  <c r="AH207" i="3"/>
  <c r="AG207" i="3"/>
  <c r="AF207" i="3"/>
  <c r="AE207" i="3"/>
  <c r="DD206" i="3"/>
  <c r="DC206" i="3"/>
  <c r="DB206" i="3"/>
  <c r="DA206" i="3"/>
  <c r="CZ206" i="3"/>
  <c r="CY206" i="3"/>
  <c r="CX206" i="3"/>
  <c r="CW206" i="3"/>
  <c r="CV206" i="3"/>
  <c r="CU206" i="3"/>
  <c r="CT206" i="3"/>
  <c r="CS206" i="3"/>
  <c r="CR206" i="3"/>
  <c r="CQ206" i="3"/>
  <c r="CP206" i="3"/>
  <c r="CO206" i="3"/>
  <c r="CN206" i="3"/>
  <c r="CM206" i="3"/>
  <c r="CL206" i="3"/>
  <c r="CK206" i="3"/>
  <c r="CJ206" i="3"/>
  <c r="CI206" i="3"/>
  <c r="CH206" i="3"/>
  <c r="CG206" i="3"/>
  <c r="CC206" i="3"/>
  <c r="CB206" i="3"/>
  <c r="CA206" i="3"/>
  <c r="BZ206" i="3"/>
  <c r="BY206" i="3"/>
  <c r="BX206" i="3"/>
  <c r="BW206" i="3"/>
  <c r="BV206" i="3"/>
  <c r="BU206" i="3"/>
  <c r="BT206" i="3"/>
  <c r="BS206" i="3"/>
  <c r="BR206" i="3"/>
  <c r="BQ206" i="3"/>
  <c r="BP206" i="3"/>
  <c r="BO206" i="3"/>
  <c r="BN206" i="3"/>
  <c r="BM206" i="3"/>
  <c r="BL206" i="3"/>
  <c r="BK206" i="3"/>
  <c r="BJ206" i="3"/>
  <c r="BI206" i="3"/>
  <c r="BH206" i="3"/>
  <c r="BG206" i="3"/>
  <c r="BF206" i="3"/>
  <c r="BB206" i="3"/>
  <c r="BA206" i="3"/>
  <c r="AZ206" i="3"/>
  <c r="AY206" i="3"/>
  <c r="AX206" i="3"/>
  <c r="AW206" i="3"/>
  <c r="AV206" i="3"/>
  <c r="AU206" i="3"/>
  <c r="AT206" i="3"/>
  <c r="AS206" i="3"/>
  <c r="AR206" i="3"/>
  <c r="AQ206" i="3"/>
  <c r="AP206" i="3"/>
  <c r="AO206" i="3"/>
  <c r="AN206" i="3"/>
  <c r="AM206" i="3"/>
  <c r="AL206" i="3"/>
  <c r="AK206" i="3"/>
  <c r="AJ206" i="3"/>
  <c r="AI206" i="3"/>
  <c r="AH206" i="3"/>
  <c r="AG206" i="3"/>
  <c r="AF206" i="3"/>
  <c r="AE206" i="3"/>
  <c r="DD205" i="3"/>
  <c r="DC205" i="3"/>
  <c r="DB205" i="3"/>
  <c r="DA205" i="3"/>
  <c r="CZ205" i="3"/>
  <c r="CY205" i="3"/>
  <c r="CX205" i="3"/>
  <c r="CW205" i="3"/>
  <c r="CV205" i="3"/>
  <c r="CU205" i="3"/>
  <c r="CT205" i="3"/>
  <c r="CS205" i="3"/>
  <c r="CR205" i="3"/>
  <c r="CQ205" i="3"/>
  <c r="CP205" i="3"/>
  <c r="CO205" i="3"/>
  <c r="CN205" i="3"/>
  <c r="CM205" i="3"/>
  <c r="CL205" i="3"/>
  <c r="CK205" i="3"/>
  <c r="CJ205" i="3"/>
  <c r="CI205" i="3"/>
  <c r="CH205" i="3"/>
  <c r="CG205" i="3"/>
  <c r="CC205" i="3"/>
  <c r="CB205" i="3"/>
  <c r="CA205" i="3"/>
  <c r="BZ205" i="3"/>
  <c r="BY205" i="3"/>
  <c r="BX205" i="3"/>
  <c r="BW205" i="3"/>
  <c r="BV205" i="3"/>
  <c r="BU205" i="3"/>
  <c r="BT205" i="3"/>
  <c r="BS205" i="3"/>
  <c r="BR205" i="3"/>
  <c r="BQ205" i="3"/>
  <c r="BP205" i="3"/>
  <c r="BO205" i="3"/>
  <c r="BN205" i="3"/>
  <c r="BM205" i="3"/>
  <c r="BL205" i="3"/>
  <c r="BK205" i="3"/>
  <c r="BJ205" i="3"/>
  <c r="BI205" i="3"/>
  <c r="BH205" i="3"/>
  <c r="BG205" i="3"/>
  <c r="BF205" i="3"/>
  <c r="BB205" i="3"/>
  <c r="BA205" i="3"/>
  <c r="AZ205" i="3"/>
  <c r="AY205" i="3"/>
  <c r="AX205" i="3"/>
  <c r="AW205" i="3"/>
  <c r="AV205" i="3"/>
  <c r="AU205" i="3"/>
  <c r="AT205" i="3"/>
  <c r="AS205" i="3"/>
  <c r="AR205" i="3"/>
  <c r="AQ205" i="3"/>
  <c r="AP205" i="3"/>
  <c r="AO205" i="3"/>
  <c r="AN205" i="3"/>
  <c r="AM205" i="3"/>
  <c r="AL205" i="3"/>
  <c r="AK205" i="3"/>
  <c r="AJ205" i="3"/>
  <c r="AI205" i="3"/>
  <c r="AH205" i="3"/>
  <c r="AG205" i="3"/>
  <c r="AF205" i="3"/>
  <c r="AE205" i="3"/>
  <c r="DD204" i="3"/>
  <c r="DC204" i="3"/>
  <c r="DB204" i="3"/>
  <c r="DA204" i="3"/>
  <c r="CZ204" i="3"/>
  <c r="CY204" i="3"/>
  <c r="CX204" i="3"/>
  <c r="CW204" i="3"/>
  <c r="CV204" i="3"/>
  <c r="CU204" i="3"/>
  <c r="CT204" i="3"/>
  <c r="CS204" i="3"/>
  <c r="CR204" i="3"/>
  <c r="CQ204" i="3"/>
  <c r="CP204" i="3"/>
  <c r="CO204" i="3"/>
  <c r="CN204" i="3"/>
  <c r="CM204" i="3"/>
  <c r="CL204" i="3"/>
  <c r="CK204" i="3"/>
  <c r="CJ204" i="3"/>
  <c r="CI204" i="3"/>
  <c r="CH204" i="3"/>
  <c r="CG204" i="3"/>
  <c r="CC204" i="3"/>
  <c r="CB204" i="3"/>
  <c r="CA204" i="3"/>
  <c r="BZ204" i="3"/>
  <c r="BY204" i="3"/>
  <c r="BX204" i="3"/>
  <c r="BW204" i="3"/>
  <c r="BV204" i="3"/>
  <c r="BU204" i="3"/>
  <c r="BT204" i="3"/>
  <c r="BS204" i="3"/>
  <c r="BR204" i="3"/>
  <c r="BQ204" i="3"/>
  <c r="BP204" i="3"/>
  <c r="BO204" i="3"/>
  <c r="BN204" i="3"/>
  <c r="BM204" i="3"/>
  <c r="BL204" i="3"/>
  <c r="BK204" i="3"/>
  <c r="BJ204" i="3"/>
  <c r="BI204" i="3"/>
  <c r="BH204" i="3"/>
  <c r="BG204" i="3"/>
  <c r="BF204" i="3"/>
  <c r="BB204" i="3"/>
  <c r="BA204" i="3"/>
  <c r="AZ204" i="3"/>
  <c r="AY204" i="3"/>
  <c r="AX204" i="3"/>
  <c r="AW204" i="3"/>
  <c r="AV204" i="3"/>
  <c r="AU204" i="3"/>
  <c r="AT204" i="3"/>
  <c r="AS204" i="3"/>
  <c r="AR204" i="3"/>
  <c r="AQ204" i="3"/>
  <c r="AP204" i="3"/>
  <c r="AO204" i="3"/>
  <c r="AN204" i="3"/>
  <c r="AM204" i="3"/>
  <c r="AL204" i="3"/>
  <c r="AK204" i="3"/>
  <c r="AJ204" i="3"/>
  <c r="AI204" i="3"/>
  <c r="AH204" i="3"/>
  <c r="AG204" i="3"/>
  <c r="AF204" i="3"/>
  <c r="AE204" i="3"/>
  <c r="DD199" i="3"/>
  <c r="DC199" i="3"/>
  <c r="DB199" i="3"/>
  <c r="DA199" i="3"/>
  <c r="CZ199" i="3"/>
  <c r="CY199" i="3"/>
  <c r="CX199" i="3"/>
  <c r="CW199" i="3"/>
  <c r="CV199" i="3"/>
  <c r="CU199" i="3"/>
  <c r="CT199" i="3"/>
  <c r="CS199" i="3"/>
  <c r="CR199" i="3"/>
  <c r="CQ199" i="3"/>
  <c r="CP199" i="3"/>
  <c r="CO199" i="3"/>
  <c r="CN199" i="3"/>
  <c r="CM199" i="3"/>
  <c r="CL199" i="3"/>
  <c r="CK199" i="3"/>
  <c r="CJ199" i="3"/>
  <c r="CI199" i="3"/>
  <c r="CH199" i="3"/>
  <c r="CG199" i="3"/>
  <c r="CC199" i="3"/>
  <c r="CB199" i="3"/>
  <c r="CA199" i="3"/>
  <c r="BZ199" i="3"/>
  <c r="BY199" i="3"/>
  <c r="BX199" i="3"/>
  <c r="BW199" i="3"/>
  <c r="BV199" i="3"/>
  <c r="BU199" i="3"/>
  <c r="BT199" i="3"/>
  <c r="BS199" i="3"/>
  <c r="BR199" i="3"/>
  <c r="BQ199" i="3"/>
  <c r="BP199" i="3"/>
  <c r="BO199" i="3"/>
  <c r="BN199" i="3"/>
  <c r="BM199" i="3"/>
  <c r="BL199" i="3"/>
  <c r="BK199" i="3"/>
  <c r="BJ199" i="3"/>
  <c r="BI199" i="3"/>
  <c r="BH199" i="3"/>
  <c r="BG199" i="3"/>
  <c r="BF199" i="3"/>
  <c r="BB199" i="3"/>
  <c r="BA199" i="3"/>
  <c r="AZ199" i="3"/>
  <c r="AY199" i="3"/>
  <c r="AX199" i="3"/>
  <c r="AW199" i="3"/>
  <c r="AV199" i="3"/>
  <c r="AU199" i="3"/>
  <c r="AT199" i="3"/>
  <c r="AS199" i="3"/>
  <c r="AR199" i="3"/>
  <c r="AQ199" i="3"/>
  <c r="AP199" i="3"/>
  <c r="AO199" i="3"/>
  <c r="AN199" i="3"/>
  <c r="AM199" i="3"/>
  <c r="AL199" i="3"/>
  <c r="AK199" i="3"/>
  <c r="AJ199" i="3"/>
  <c r="AI199" i="3"/>
  <c r="AH199" i="3"/>
  <c r="AG199" i="3"/>
  <c r="AF199" i="3"/>
  <c r="AE199" i="3"/>
  <c r="DD198" i="3"/>
  <c r="DC198" i="3"/>
  <c r="DB198" i="3"/>
  <c r="DA198" i="3"/>
  <c r="CZ198" i="3"/>
  <c r="CY198" i="3"/>
  <c r="CX198" i="3"/>
  <c r="CW198" i="3"/>
  <c r="CV198" i="3"/>
  <c r="CU198" i="3"/>
  <c r="CT198" i="3"/>
  <c r="CS198" i="3"/>
  <c r="CR198" i="3"/>
  <c r="CQ198" i="3"/>
  <c r="CP198" i="3"/>
  <c r="CO198" i="3"/>
  <c r="CN198" i="3"/>
  <c r="CM198" i="3"/>
  <c r="CL198" i="3"/>
  <c r="CK198" i="3"/>
  <c r="CJ198" i="3"/>
  <c r="CI198" i="3"/>
  <c r="CH198" i="3"/>
  <c r="CG198" i="3"/>
  <c r="CC198" i="3"/>
  <c r="CB198" i="3"/>
  <c r="CA198" i="3"/>
  <c r="BZ198" i="3"/>
  <c r="BY198" i="3"/>
  <c r="BX198" i="3"/>
  <c r="BW198" i="3"/>
  <c r="BV198" i="3"/>
  <c r="BU198" i="3"/>
  <c r="BT198" i="3"/>
  <c r="BS198" i="3"/>
  <c r="BR198" i="3"/>
  <c r="BQ198" i="3"/>
  <c r="BP198" i="3"/>
  <c r="BO198" i="3"/>
  <c r="BN198" i="3"/>
  <c r="BM198" i="3"/>
  <c r="BL198" i="3"/>
  <c r="BK198" i="3"/>
  <c r="BJ198" i="3"/>
  <c r="BI198" i="3"/>
  <c r="BH198" i="3"/>
  <c r="BG198" i="3"/>
  <c r="BF198" i="3"/>
  <c r="BB198" i="3"/>
  <c r="BA198" i="3"/>
  <c r="AZ198" i="3"/>
  <c r="AY198" i="3"/>
  <c r="AX198" i="3"/>
  <c r="AW198" i="3"/>
  <c r="AV198" i="3"/>
  <c r="AU198" i="3"/>
  <c r="AT198" i="3"/>
  <c r="AS198" i="3"/>
  <c r="AR198" i="3"/>
  <c r="AQ198" i="3"/>
  <c r="AP198" i="3"/>
  <c r="AO198" i="3"/>
  <c r="AN198" i="3"/>
  <c r="AM198" i="3"/>
  <c r="AL198" i="3"/>
  <c r="AK198" i="3"/>
  <c r="AJ198" i="3"/>
  <c r="AI198" i="3"/>
  <c r="AH198" i="3"/>
  <c r="AG198" i="3"/>
  <c r="AF198" i="3"/>
  <c r="AE198" i="3"/>
  <c r="DD197" i="3"/>
  <c r="DC197" i="3"/>
  <c r="DB197" i="3"/>
  <c r="DA197" i="3"/>
  <c r="CZ197" i="3"/>
  <c r="CY197" i="3"/>
  <c r="CX197" i="3"/>
  <c r="CW197" i="3"/>
  <c r="CV197" i="3"/>
  <c r="CU197" i="3"/>
  <c r="CT197" i="3"/>
  <c r="CS197" i="3"/>
  <c r="CR197" i="3"/>
  <c r="CQ197" i="3"/>
  <c r="CP197" i="3"/>
  <c r="CO197" i="3"/>
  <c r="CN197" i="3"/>
  <c r="CM197" i="3"/>
  <c r="CL197" i="3"/>
  <c r="CK197" i="3"/>
  <c r="CJ197" i="3"/>
  <c r="CI197" i="3"/>
  <c r="CH197" i="3"/>
  <c r="CG197" i="3"/>
  <c r="CC197" i="3"/>
  <c r="CB197" i="3"/>
  <c r="CA197" i="3"/>
  <c r="BZ197" i="3"/>
  <c r="BY197" i="3"/>
  <c r="BX197" i="3"/>
  <c r="BW197" i="3"/>
  <c r="BV197" i="3"/>
  <c r="BU197" i="3"/>
  <c r="BT197" i="3"/>
  <c r="BS197" i="3"/>
  <c r="BR197" i="3"/>
  <c r="BQ197" i="3"/>
  <c r="BP197" i="3"/>
  <c r="BO197" i="3"/>
  <c r="BN197" i="3"/>
  <c r="BM197" i="3"/>
  <c r="BL197" i="3"/>
  <c r="BK197" i="3"/>
  <c r="BJ197" i="3"/>
  <c r="BI197" i="3"/>
  <c r="BH197" i="3"/>
  <c r="BG197" i="3"/>
  <c r="BF197" i="3"/>
  <c r="BB197" i="3"/>
  <c r="BA197" i="3"/>
  <c r="AZ197" i="3"/>
  <c r="AY197" i="3"/>
  <c r="AX197" i="3"/>
  <c r="AW197" i="3"/>
  <c r="AV197" i="3"/>
  <c r="AU197" i="3"/>
  <c r="AT197" i="3"/>
  <c r="AS197" i="3"/>
  <c r="AR197" i="3"/>
  <c r="AQ197" i="3"/>
  <c r="AP197" i="3"/>
  <c r="AO197" i="3"/>
  <c r="AN197" i="3"/>
  <c r="AM197" i="3"/>
  <c r="AL197" i="3"/>
  <c r="AK197" i="3"/>
  <c r="AJ197" i="3"/>
  <c r="AI197" i="3"/>
  <c r="AH197" i="3"/>
  <c r="AG197" i="3"/>
  <c r="AF197" i="3"/>
  <c r="AE197" i="3"/>
  <c r="DD196" i="3"/>
  <c r="DC196" i="3"/>
  <c r="DB196" i="3"/>
  <c r="DA196" i="3"/>
  <c r="CZ196" i="3"/>
  <c r="CY196" i="3"/>
  <c r="CX196" i="3"/>
  <c r="CW196" i="3"/>
  <c r="CV196" i="3"/>
  <c r="CU196" i="3"/>
  <c r="CT196" i="3"/>
  <c r="CS196" i="3"/>
  <c r="CR196" i="3"/>
  <c r="CQ196" i="3"/>
  <c r="CP196" i="3"/>
  <c r="CO196" i="3"/>
  <c r="CN196" i="3"/>
  <c r="CM196" i="3"/>
  <c r="CL196" i="3"/>
  <c r="CK196" i="3"/>
  <c r="CJ196" i="3"/>
  <c r="CI196" i="3"/>
  <c r="CH196" i="3"/>
  <c r="CG196" i="3"/>
  <c r="CC196" i="3"/>
  <c r="CB196" i="3"/>
  <c r="CA196" i="3"/>
  <c r="BZ196" i="3"/>
  <c r="BY196" i="3"/>
  <c r="BX196" i="3"/>
  <c r="BW196" i="3"/>
  <c r="BV196" i="3"/>
  <c r="BU196" i="3"/>
  <c r="BT196" i="3"/>
  <c r="BS196" i="3"/>
  <c r="BR196" i="3"/>
  <c r="BQ196" i="3"/>
  <c r="BP196" i="3"/>
  <c r="BO196" i="3"/>
  <c r="BN196" i="3"/>
  <c r="BM196" i="3"/>
  <c r="BL196" i="3"/>
  <c r="BK196" i="3"/>
  <c r="BJ196" i="3"/>
  <c r="BI196" i="3"/>
  <c r="BH196" i="3"/>
  <c r="BG196" i="3"/>
  <c r="BF196" i="3"/>
  <c r="BB196" i="3"/>
  <c r="BA196" i="3"/>
  <c r="AZ196" i="3"/>
  <c r="AY196" i="3"/>
  <c r="AX196" i="3"/>
  <c r="AW196" i="3"/>
  <c r="AV196" i="3"/>
  <c r="AU196" i="3"/>
  <c r="AT196" i="3"/>
  <c r="AS196" i="3"/>
  <c r="AR196" i="3"/>
  <c r="AQ196" i="3"/>
  <c r="AP196" i="3"/>
  <c r="AO196" i="3"/>
  <c r="AN196" i="3"/>
  <c r="AM196" i="3"/>
  <c r="AL196" i="3"/>
  <c r="AK196" i="3"/>
  <c r="AJ196" i="3"/>
  <c r="AI196" i="3"/>
  <c r="AH196" i="3"/>
  <c r="AG196" i="3"/>
  <c r="AF196" i="3"/>
  <c r="AE196" i="3"/>
  <c r="DD189" i="3"/>
  <c r="DC189" i="3"/>
  <c r="DB189" i="3"/>
  <c r="DA189" i="3"/>
  <c r="CZ189" i="3"/>
  <c r="CY189" i="3"/>
  <c r="CX189" i="3"/>
  <c r="CW189" i="3"/>
  <c r="CV189" i="3"/>
  <c r="CU189" i="3"/>
  <c r="CT189" i="3"/>
  <c r="CS189" i="3"/>
  <c r="CR189" i="3"/>
  <c r="CQ189" i="3"/>
  <c r="CP189" i="3"/>
  <c r="CO189" i="3"/>
  <c r="CN189" i="3"/>
  <c r="CM189" i="3"/>
  <c r="CL189" i="3"/>
  <c r="CK189" i="3"/>
  <c r="CJ189" i="3"/>
  <c r="CI189" i="3"/>
  <c r="CH189" i="3"/>
  <c r="CG189" i="3"/>
  <c r="CC189" i="3"/>
  <c r="CB189" i="3"/>
  <c r="CA189" i="3"/>
  <c r="BZ189" i="3"/>
  <c r="BY189" i="3"/>
  <c r="BX189" i="3"/>
  <c r="BW189" i="3"/>
  <c r="BV189" i="3"/>
  <c r="BU189" i="3"/>
  <c r="BT189" i="3"/>
  <c r="BS189" i="3"/>
  <c r="BR189" i="3"/>
  <c r="BQ189" i="3"/>
  <c r="BP189" i="3"/>
  <c r="BO189" i="3"/>
  <c r="BN189" i="3"/>
  <c r="BM189" i="3"/>
  <c r="BL189" i="3"/>
  <c r="BK189" i="3"/>
  <c r="BJ189" i="3"/>
  <c r="BI189" i="3"/>
  <c r="BH189" i="3"/>
  <c r="BG189" i="3"/>
  <c r="BF189" i="3"/>
  <c r="BB189" i="3"/>
  <c r="BA189" i="3"/>
  <c r="AZ189" i="3"/>
  <c r="AY189" i="3"/>
  <c r="AX189" i="3"/>
  <c r="AW189" i="3"/>
  <c r="AV189" i="3"/>
  <c r="AU189" i="3"/>
  <c r="AT189" i="3"/>
  <c r="AS189" i="3"/>
  <c r="AR189" i="3"/>
  <c r="AQ189" i="3"/>
  <c r="AP189" i="3"/>
  <c r="AO189" i="3"/>
  <c r="AN189" i="3"/>
  <c r="AM189" i="3"/>
  <c r="AL189" i="3"/>
  <c r="AK189" i="3"/>
  <c r="AJ189" i="3"/>
  <c r="AI189" i="3"/>
  <c r="AH189" i="3"/>
  <c r="AG189" i="3"/>
  <c r="AF189" i="3"/>
  <c r="AE189" i="3"/>
  <c r="DD188" i="3"/>
  <c r="DC188" i="3"/>
  <c r="DB188" i="3"/>
  <c r="DA188" i="3"/>
  <c r="CZ188" i="3"/>
  <c r="CY188" i="3"/>
  <c r="CX188" i="3"/>
  <c r="CW188" i="3"/>
  <c r="CV188" i="3"/>
  <c r="CU188" i="3"/>
  <c r="CT188" i="3"/>
  <c r="CS188" i="3"/>
  <c r="CR188" i="3"/>
  <c r="CQ188" i="3"/>
  <c r="CP188" i="3"/>
  <c r="CO188" i="3"/>
  <c r="CN188" i="3"/>
  <c r="CM188" i="3"/>
  <c r="CL188" i="3"/>
  <c r="CK188" i="3"/>
  <c r="CJ188" i="3"/>
  <c r="CI188" i="3"/>
  <c r="CH188" i="3"/>
  <c r="CG188" i="3"/>
  <c r="CC188" i="3"/>
  <c r="CB188" i="3"/>
  <c r="CA188" i="3"/>
  <c r="BZ188" i="3"/>
  <c r="BY188" i="3"/>
  <c r="BX188" i="3"/>
  <c r="BW188" i="3"/>
  <c r="BV188" i="3"/>
  <c r="BU188" i="3"/>
  <c r="BT188" i="3"/>
  <c r="BS188" i="3"/>
  <c r="BR188" i="3"/>
  <c r="BQ188" i="3"/>
  <c r="BP188" i="3"/>
  <c r="BO188" i="3"/>
  <c r="BN188" i="3"/>
  <c r="BM188" i="3"/>
  <c r="BL188" i="3"/>
  <c r="BK188" i="3"/>
  <c r="BJ188" i="3"/>
  <c r="BI188" i="3"/>
  <c r="BH188" i="3"/>
  <c r="BG188" i="3"/>
  <c r="BF188" i="3"/>
  <c r="BB188" i="3"/>
  <c r="BA188" i="3"/>
  <c r="AZ188" i="3"/>
  <c r="AY188" i="3"/>
  <c r="AX188" i="3"/>
  <c r="AW188" i="3"/>
  <c r="AV188" i="3"/>
  <c r="AU188" i="3"/>
  <c r="AT188" i="3"/>
  <c r="AS188" i="3"/>
  <c r="AR188" i="3"/>
  <c r="AQ188" i="3"/>
  <c r="AP188" i="3"/>
  <c r="AO188" i="3"/>
  <c r="AN188" i="3"/>
  <c r="AM188" i="3"/>
  <c r="AL188" i="3"/>
  <c r="AK188" i="3"/>
  <c r="AJ188" i="3"/>
  <c r="AI188" i="3"/>
  <c r="AH188" i="3"/>
  <c r="AG188" i="3"/>
  <c r="AF188" i="3"/>
  <c r="AE188" i="3"/>
  <c r="DD187" i="3"/>
  <c r="DC187" i="3"/>
  <c r="DB187" i="3"/>
  <c r="DA187" i="3"/>
  <c r="CZ187" i="3"/>
  <c r="CY187" i="3"/>
  <c r="CX187" i="3"/>
  <c r="CW187" i="3"/>
  <c r="CV187" i="3"/>
  <c r="CU187" i="3"/>
  <c r="CT187" i="3"/>
  <c r="CS187" i="3"/>
  <c r="CR187" i="3"/>
  <c r="CQ187" i="3"/>
  <c r="CP187" i="3"/>
  <c r="CO187" i="3"/>
  <c r="CN187" i="3"/>
  <c r="CM187" i="3"/>
  <c r="CL187" i="3"/>
  <c r="CK187" i="3"/>
  <c r="CJ187" i="3"/>
  <c r="CI187" i="3"/>
  <c r="CH187" i="3"/>
  <c r="CG187" i="3"/>
  <c r="CC187" i="3"/>
  <c r="CB187" i="3"/>
  <c r="CA187" i="3"/>
  <c r="BZ187" i="3"/>
  <c r="BY187" i="3"/>
  <c r="BX187" i="3"/>
  <c r="BW187" i="3"/>
  <c r="BV187" i="3"/>
  <c r="BU187" i="3"/>
  <c r="BT187" i="3"/>
  <c r="BS187" i="3"/>
  <c r="BR187" i="3"/>
  <c r="BQ187" i="3"/>
  <c r="BP187" i="3"/>
  <c r="BO187" i="3"/>
  <c r="BN187" i="3"/>
  <c r="BM187" i="3"/>
  <c r="BL187" i="3"/>
  <c r="BK187" i="3"/>
  <c r="BJ187" i="3"/>
  <c r="BI187" i="3"/>
  <c r="BH187" i="3"/>
  <c r="BG187" i="3"/>
  <c r="BF187" i="3"/>
  <c r="BB187" i="3"/>
  <c r="BA187" i="3"/>
  <c r="AZ187" i="3"/>
  <c r="AY187" i="3"/>
  <c r="AX187" i="3"/>
  <c r="AW187" i="3"/>
  <c r="AV187" i="3"/>
  <c r="AU187" i="3"/>
  <c r="AT187" i="3"/>
  <c r="AS187" i="3"/>
  <c r="AR187" i="3"/>
  <c r="AQ187" i="3"/>
  <c r="AP187" i="3"/>
  <c r="AO187" i="3"/>
  <c r="AN187" i="3"/>
  <c r="AM187" i="3"/>
  <c r="AL187" i="3"/>
  <c r="AK187" i="3"/>
  <c r="AJ187" i="3"/>
  <c r="AI187" i="3"/>
  <c r="AH187" i="3"/>
  <c r="AG187" i="3"/>
  <c r="AF187" i="3"/>
  <c r="AE187" i="3"/>
  <c r="DD186" i="3"/>
  <c r="DC186" i="3"/>
  <c r="DB186" i="3"/>
  <c r="DA186" i="3"/>
  <c r="CZ186" i="3"/>
  <c r="CY186" i="3"/>
  <c r="CX186" i="3"/>
  <c r="CW186" i="3"/>
  <c r="CV186" i="3"/>
  <c r="CU186" i="3"/>
  <c r="CT186" i="3"/>
  <c r="CS186" i="3"/>
  <c r="CR186" i="3"/>
  <c r="CQ186" i="3"/>
  <c r="CP186" i="3"/>
  <c r="CO186" i="3"/>
  <c r="CN186" i="3"/>
  <c r="CM186" i="3"/>
  <c r="CL186" i="3"/>
  <c r="CK186" i="3"/>
  <c r="CJ186" i="3"/>
  <c r="CI186" i="3"/>
  <c r="CH186" i="3"/>
  <c r="CG186" i="3"/>
  <c r="CC186" i="3"/>
  <c r="CB186" i="3"/>
  <c r="CA186" i="3"/>
  <c r="BZ186" i="3"/>
  <c r="BY186" i="3"/>
  <c r="BX186" i="3"/>
  <c r="BW186" i="3"/>
  <c r="BV186" i="3"/>
  <c r="BU186" i="3"/>
  <c r="BT186" i="3"/>
  <c r="BS186" i="3"/>
  <c r="BR186" i="3"/>
  <c r="BQ186" i="3"/>
  <c r="BP186" i="3"/>
  <c r="BO186" i="3"/>
  <c r="BN186" i="3"/>
  <c r="BM186" i="3"/>
  <c r="BL186" i="3"/>
  <c r="BK186" i="3"/>
  <c r="BJ186" i="3"/>
  <c r="BI186" i="3"/>
  <c r="BH186" i="3"/>
  <c r="BG186" i="3"/>
  <c r="BF186" i="3"/>
  <c r="BB186" i="3"/>
  <c r="BA186" i="3"/>
  <c r="AZ186" i="3"/>
  <c r="AY186" i="3"/>
  <c r="AX186" i="3"/>
  <c r="AW186" i="3"/>
  <c r="AV186" i="3"/>
  <c r="AU186" i="3"/>
  <c r="AT186" i="3"/>
  <c r="AS186" i="3"/>
  <c r="AR186" i="3"/>
  <c r="AQ186" i="3"/>
  <c r="AP186" i="3"/>
  <c r="AO186" i="3"/>
  <c r="AN186" i="3"/>
  <c r="AM186" i="3"/>
  <c r="AL186" i="3"/>
  <c r="AK186" i="3"/>
  <c r="AJ186" i="3"/>
  <c r="AI186" i="3"/>
  <c r="AH186" i="3"/>
  <c r="AG186" i="3"/>
  <c r="AF186" i="3"/>
  <c r="AE186" i="3"/>
  <c r="DD185" i="3"/>
  <c r="DC185" i="3"/>
  <c r="DB185" i="3"/>
  <c r="DA185" i="3"/>
  <c r="CZ185" i="3"/>
  <c r="CY185" i="3"/>
  <c r="CX185" i="3"/>
  <c r="CW185" i="3"/>
  <c r="CV185" i="3"/>
  <c r="CU185" i="3"/>
  <c r="CT185" i="3"/>
  <c r="CS185" i="3"/>
  <c r="CR185" i="3"/>
  <c r="CQ185" i="3"/>
  <c r="CP185" i="3"/>
  <c r="CO185" i="3"/>
  <c r="CN185" i="3"/>
  <c r="CM185" i="3"/>
  <c r="CL185" i="3"/>
  <c r="CK185" i="3"/>
  <c r="CJ185" i="3"/>
  <c r="CI185" i="3"/>
  <c r="CH185" i="3"/>
  <c r="CG185" i="3"/>
  <c r="CC185" i="3"/>
  <c r="CB185" i="3"/>
  <c r="CA185" i="3"/>
  <c r="BZ185" i="3"/>
  <c r="BY185" i="3"/>
  <c r="BX185" i="3"/>
  <c r="BW185" i="3"/>
  <c r="BV185" i="3"/>
  <c r="BU185" i="3"/>
  <c r="BT185" i="3"/>
  <c r="BS185" i="3"/>
  <c r="BR185" i="3"/>
  <c r="BQ185" i="3"/>
  <c r="BP185" i="3"/>
  <c r="BO185" i="3"/>
  <c r="BN185" i="3"/>
  <c r="BM185" i="3"/>
  <c r="BL185" i="3"/>
  <c r="BK185" i="3"/>
  <c r="BJ185" i="3"/>
  <c r="BI185" i="3"/>
  <c r="BH185" i="3"/>
  <c r="BG185" i="3"/>
  <c r="BF185" i="3"/>
  <c r="BB185" i="3"/>
  <c r="BA185" i="3"/>
  <c r="AZ185" i="3"/>
  <c r="AY185" i="3"/>
  <c r="AX185" i="3"/>
  <c r="AW185" i="3"/>
  <c r="AV185" i="3"/>
  <c r="AU185" i="3"/>
  <c r="AT185" i="3"/>
  <c r="AS185" i="3"/>
  <c r="AR185" i="3"/>
  <c r="AQ185" i="3"/>
  <c r="AP185" i="3"/>
  <c r="AO185" i="3"/>
  <c r="AN185" i="3"/>
  <c r="AM185" i="3"/>
  <c r="AL185" i="3"/>
  <c r="AK185" i="3"/>
  <c r="AJ185" i="3"/>
  <c r="AI185" i="3"/>
  <c r="AH185" i="3"/>
  <c r="AG185" i="3"/>
  <c r="AF185" i="3"/>
  <c r="AE185" i="3"/>
  <c r="AG180" i="3"/>
  <c r="AF180" i="3"/>
  <c r="AE180" i="3"/>
  <c r="C149" i="3"/>
  <c r="C148" i="3"/>
  <c r="AC48" i="3"/>
  <c r="B48" i="3"/>
  <c r="AC99" i="2"/>
  <c r="AC98" i="2"/>
  <c r="AC94" i="2"/>
  <c r="AC93" i="2"/>
  <c r="AC89" i="2"/>
  <c r="AC85" i="2"/>
  <c r="AC81" i="2"/>
  <c r="AC80" i="2"/>
  <c r="AC79" i="2"/>
  <c r="AC78" i="2"/>
  <c r="AC77" i="2"/>
  <c r="AC76" i="2"/>
  <c r="AC71" i="2"/>
  <c r="AC70" i="2"/>
  <c r="AC69" i="2"/>
  <c r="AC68" i="2"/>
  <c r="AC64" i="2"/>
  <c r="AC60" i="2"/>
  <c r="AC56" i="2"/>
  <c r="AC52" i="2"/>
  <c r="AC48" i="2"/>
  <c r="C15" i="2"/>
  <c r="C14" i="2"/>
  <c r="C13" i="2"/>
  <c r="CG263" i="1"/>
  <c r="BF263" i="1"/>
  <c r="AE263" i="1"/>
  <c r="CG253" i="1"/>
  <c r="BF253" i="1"/>
  <c r="AE253" i="1"/>
  <c r="CG247" i="1"/>
  <c r="BF247" i="1"/>
  <c r="AE247" i="1"/>
  <c r="DD244" i="1"/>
  <c r="DC244" i="1"/>
  <c r="DB244" i="1"/>
  <c r="DA244" i="1"/>
  <c r="CZ244" i="1"/>
  <c r="CY244" i="1"/>
  <c r="CX244" i="1"/>
  <c r="CW244" i="1"/>
  <c r="CV244" i="1"/>
  <c r="CU244" i="1"/>
  <c r="CT244" i="1"/>
  <c r="CS244" i="1"/>
  <c r="CR244" i="1"/>
  <c r="CQ244" i="1"/>
  <c r="CP244" i="1"/>
  <c r="CO244" i="1"/>
  <c r="CN244" i="1"/>
  <c r="CM244" i="1"/>
  <c r="CL244" i="1"/>
  <c r="CK244" i="1"/>
  <c r="CJ244" i="1"/>
  <c r="CI244" i="1"/>
  <c r="CH244" i="1"/>
  <c r="CG244" i="1"/>
  <c r="CC244" i="1"/>
  <c r="CB244" i="1"/>
  <c r="CA244" i="1"/>
  <c r="BZ244" i="1"/>
  <c r="BY244" i="1"/>
  <c r="BX244" i="1"/>
  <c r="BW244" i="1"/>
  <c r="BV244" i="1"/>
  <c r="BU244" i="1"/>
  <c r="BT244" i="1"/>
  <c r="BS244" i="1"/>
  <c r="BR244" i="1"/>
  <c r="BQ244" i="1"/>
  <c r="BP244" i="1"/>
  <c r="BO244" i="1"/>
  <c r="BN244" i="1"/>
  <c r="BM244" i="1"/>
  <c r="BL244" i="1"/>
  <c r="BK244" i="1"/>
  <c r="BJ244" i="1"/>
  <c r="BI244" i="1"/>
  <c r="BH244" i="1"/>
  <c r="BG244" i="1"/>
  <c r="BF244" i="1"/>
  <c r="BB244" i="1"/>
  <c r="BA244" i="1"/>
  <c r="AZ244" i="1"/>
  <c r="AY244" i="1"/>
  <c r="AX244" i="1"/>
  <c r="AW244" i="1"/>
  <c r="AV244" i="1"/>
  <c r="AU244" i="1"/>
  <c r="AT244" i="1"/>
  <c r="AS244" i="1"/>
  <c r="AR244" i="1"/>
  <c r="AQ244" i="1"/>
  <c r="AP244" i="1"/>
  <c r="AO244" i="1"/>
  <c r="AN244" i="1"/>
  <c r="AM244" i="1"/>
  <c r="AL244" i="1"/>
  <c r="AK244" i="1"/>
  <c r="AJ244" i="1"/>
  <c r="AI244" i="1"/>
  <c r="AH244" i="1"/>
  <c r="AG244" i="1"/>
  <c r="AF244" i="1"/>
  <c r="AE244" i="1"/>
  <c r="DD243" i="1"/>
  <c r="DC243" i="1"/>
  <c r="DB243" i="1"/>
  <c r="DA243" i="1"/>
  <c r="CZ243" i="1"/>
  <c r="CY243" i="1"/>
  <c r="CX243" i="1"/>
  <c r="CW243" i="1"/>
  <c r="CV243" i="1"/>
  <c r="CU243" i="1"/>
  <c r="CT243" i="1"/>
  <c r="CS243" i="1"/>
  <c r="CR243" i="1"/>
  <c r="CQ243" i="1"/>
  <c r="CP243" i="1"/>
  <c r="CO243" i="1"/>
  <c r="CN243" i="1"/>
  <c r="CM243" i="1"/>
  <c r="CL243" i="1"/>
  <c r="CK243" i="1"/>
  <c r="CJ243" i="1"/>
  <c r="CI243" i="1"/>
  <c r="CH243" i="1"/>
  <c r="CG243" i="1"/>
  <c r="CC243" i="1"/>
  <c r="CB243" i="1"/>
  <c r="CA243" i="1"/>
  <c r="BZ243" i="1"/>
  <c r="BY243" i="1"/>
  <c r="BX243" i="1"/>
  <c r="BW243" i="1"/>
  <c r="BV243" i="1"/>
  <c r="BU243" i="1"/>
  <c r="BT243" i="1"/>
  <c r="BS243" i="1"/>
  <c r="BR243" i="1"/>
  <c r="BQ243" i="1"/>
  <c r="BP243" i="1"/>
  <c r="BO243" i="1"/>
  <c r="BN243" i="1"/>
  <c r="BM243" i="1"/>
  <c r="BL243" i="1"/>
  <c r="BK243" i="1"/>
  <c r="BJ243" i="1"/>
  <c r="BI243" i="1"/>
  <c r="BH243" i="1"/>
  <c r="BG243" i="1"/>
  <c r="BF243" i="1"/>
  <c r="BB243" i="1"/>
  <c r="BA243" i="1"/>
  <c r="AZ243" i="1"/>
  <c r="AY243" i="1"/>
  <c r="AX243" i="1"/>
  <c r="AW243" i="1"/>
  <c r="AV243" i="1"/>
  <c r="AU243" i="1"/>
  <c r="AT243" i="1"/>
  <c r="AS243" i="1"/>
  <c r="AR243" i="1"/>
  <c r="AQ243" i="1"/>
  <c r="AP243" i="1"/>
  <c r="AO243" i="1"/>
  <c r="AN243" i="1"/>
  <c r="AM243" i="1"/>
  <c r="AL243" i="1"/>
  <c r="AK243" i="1"/>
  <c r="AJ243" i="1"/>
  <c r="AI243" i="1"/>
  <c r="AH243" i="1"/>
  <c r="AG243" i="1"/>
  <c r="AF243" i="1"/>
  <c r="AE243" i="1"/>
  <c r="DD242" i="1"/>
  <c r="DC242" i="1"/>
  <c r="DB242" i="1"/>
  <c r="DA242" i="1"/>
  <c r="CZ242" i="1"/>
  <c r="CY242" i="1"/>
  <c r="CX242" i="1"/>
  <c r="CW242" i="1"/>
  <c r="CV242" i="1"/>
  <c r="CU242" i="1"/>
  <c r="CT242" i="1"/>
  <c r="CS242" i="1"/>
  <c r="CR242" i="1"/>
  <c r="CQ242" i="1"/>
  <c r="CP242" i="1"/>
  <c r="CO242" i="1"/>
  <c r="CN242" i="1"/>
  <c r="CM242" i="1"/>
  <c r="CL242" i="1"/>
  <c r="CK242" i="1"/>
  <c r="CJ242" i="1"/>
  <c r="CI242" i="1"/>
  <c r="CH242" i="1"/>
  <c r="CG242" i="1"/>
  <c r="CC242" i="1"/>
  <c r="CB242" i="1"/>
  <c r="CA242" i="1"/>
  <c r="BZ242" i="1"/>
  <c r="BY242" i="1"/>
  <c r="BX242" i="1"/>
  <c r="BW242" i="1"/>
  <c r="BV242" i="1"/>
  <c r="BU242" i="1"/>
  <c r="BT242" i="1"/>
  <c r="BS242" i="1"/>
  <c r="BR242" i="1"/>
  <c r="BQ242" i="1"/>
  <c r="BP242" i="1"/>
  <c r="BO242" i="1"/>
  <c r="BN242" i="1"/>
  <c r="BM242" i="1"/>
  <c r="BL242" i="1"/>
  <c r="BK242" i="1"/>
  <c r="BJ242" i="1"/>
  <c r="BI242" i="1"/>
  <c r="BH242" i="1"/>
  <c r="BG242" i="1"/>
  <c r="BF242" i="1"/>
  <c r="BB242" i="1"/>
  <c r="BA242" i="1"/>
  <c r="AZ242" i="1"/>
  <c r="AY242" i="1"/>
  <c r="AX242" i="1"/>
  <c r="AW242" i="1"/>
  <c r="AV242" i="1"/>
  <c r="AU242" i="1"/>
  <c r="AT242" i="1"/>
  <c r="AS242" i="1"/>
  <c r="AR242" i="1"/>
  <c r="AQ242" i="1"/>
  <c r="AP242" i="1"/>
  <c r="AO242" i="1"/>
  <c r="AN242" i="1"/>
  <c r="AM242" i="1"/>
  <c r="AL242" i="1"/>
  <c r="AK242" i="1"/>
  <c r="AJ242" i="1"/>
  <c r="AI242" i="1"/>
  <c r="AH242" i="1"/>
  <c r="AG242" i="1"/>
  <c r="AF242" i="1"/>
  <c r="AE242" i="1"/>
  <c r="DD241" i="1"/>
  <c r="DC241" i="1"/>
  <c r="DB241" i="1"/>
  <c r="DA241" i="1"/>
  <c r="CZ241" i="1"/>
  <c r="CY241" i="1"/>
  <c r="CX241" i="1"/>
  <c r="CW241" i="1"/>
  <c r="CV241" i="1"/>
  <c r="CU241" i="1"/>
  <c r="CT241" i="1"/>
  <c r="CS241" i="1"/>
  <c r="CR241" i="1"/>
  <c r="CQ241" i="1"/>
  <c r="CP241" i="1"/>
  <c r="CO241" i="1"/>
  <c r="CN241" i="1"/>
  <c r="CM241" i="1"/>
  <c r="CL241" i="1"/>
  <c r="CK241" i="1"/>
  <c r="CJ241" i="1"/>
  <c r="CI241" i="1"/>
  <c r="CH241" i="1"/>
  <c r="CG241" i="1"/>
  <c r="CC241" i="1"/>
  <c r="CB241" i="1"/>
  <c r="CA241" i="1"/>
  <c r="BZ241" i="1"/>
  <c r="BY241" i="1"/>
  <c r="BX241" i="1"/>
  <c r="BW241" i="1"/>
  <c r="BV241" i="1"/>
  <c r="BU241" i="1"/>
  <c r="BT241" i="1"/>
  <c r="BS241" i="1"/>
  <c r="BR241" i="1"/>
  <c r="BQ241" i="1"/>
  <c r="BP241" i="1"/>
  <c r="BO241" i="1"/>
  <c r="BN241" i="1"/>
  <c r="BM241" i="1"/>
  <c r="BL241" i="1"/>
  <c r="BK241" i="1"/>
  <c r="BJ241" i="1"/>
  <c r="BI241" i="1"/>
  <c r="BH241" i="1"/>
  <c r="BG241" i="1"/>
  <c r="BF241" i="1"/>
  <c r="BB241" i="1"/>
  <c r="BA241" i="1"/>
  <c r="AZ241" i="1"/>
  <c r="AY241" i="1"/>
  <c r="AX241" i="1"/>
  <c r="AW241" i="1"/>
  <c r="AV241" i="1"/>
  <c r="AU241" i="1"/>
  <c r="AT241" i="1"/>
  <c r="AS241" i="1"/>
  <c r="AR241" i="1"/>
  <c r="AQ241" i="1"/>
  <c r="AP241" i="1"/>
  <c r="AO241" i="1"/>
  <c r="AN241" i="1"/>
  <c r="AM241" i="1"/>
  <c r="AL241" i="1"/>
  <c r="AK241" i="1"/>
  <c r="AJ241" i="1"/>
  <c r="AI241" i="1"/>
  <c r="AH241" i="1"/>
  <c r="AG241" i="1"/>
  <c r="AF241" i="1"/>
  <c r="AE241" i="1"/>
  <c r="DD239" i="1"/>
  <c r="DC239" i="1"/>
  <c r="DB239" i="1"/>
  <c r="DA239" i="1"/>
  <c r="CZ239" i="1"/>
  <c r="CY239" i="1"/>
  <c r="CX239" i="1"/>
  <c r="CW239" i="1"/>
  <c r="CV239" i="1"/>
  <c r="CU239" i="1"/>
  <c r="CT239" i="1"/>
  <c r="CS239" i="1"/>
  <c r="CR239" i="1"/>
  <c r="CQ239" i="1"/>
  <c r="CP239" i="1"/>
  <c r="CO239" i="1"/>
  <c r="CN239" i="1"/>
  <c r="CM239" i="1"/>
  <c r="CL239" i="1"/>
  <c r="CK239" i="1"/>
  <c r="CJ239" i="1"/>
  <c r="CI239" i="1"/>
  <c r="CH239" i="1"/>
  <c r="CG239" i="1"/>
  <c r="CC239" i="1"/>
  <c r="CB239" i="1"/>
  <c r="CA239" i="1"/>
  <c r="BZ239" i="1"/>
  <c r="BY239" i="1"/>
  <c r="BX239" i="1"/>
  <c r="BW239" i="1"/>
  <c r="BV239" i="1"/>
  <c r="BU239" i="1"/>
  <c r="BT239" i="1"/>
  <c r="BS239" i="1"/>
  <c r="BR239" i="1"/>
  <c r="BQ239" i="1"/>
  <c r="BP239" i="1"/>
  <c r="BO239" i="1"/>
  <c r="BN239" i="1"/>
  <c r="BM239" i="1"/>
  <c r="BL239" i="1"/>
  <c r="BK239" i="1"/>
  <c r="BJ239" i="1"/>
  <c r="BI239" i="1"/>
  <c r="BH239" i="1"/>
  <c r="BG239" i="1"/>
  <c r="BF239" i="1"/>
  <c r="BB239" i="1"/>
  <c r="BA239" i="1"/>
  <c r="AZ239" i="1"/>
  <c r="AY239" i="1"/>
  <c r="AX239" i="1"/>
  <c r="AW239" i="1"/>
  <c r="AV239" i="1"/>
  <c r="AU239" i="1"/>
  <c r="AT239" i="1"/>
  <c r="AS239" i="1"/>
  <c r="AR239" i="1"/>
  <c r="AQ239" i="1"/>
  <c r="AP239" i="1"/>
  <c r="AO239" i="1"/>
  <c r="AN239" i="1"/>
  <c r="AM239" i="1"/>
  <c r="AL239" i="1"/>
  <c r="AK239" i="1"/>
  <c r="AJ239" i="1"/>
  <c r="AI239" i="1"/>
  <c r="AH239" i="1"/>
  <c r="AG239" i="1"/>
  <c r="AF239" i="1"/>
  <c r="AE239" i="1"/>
  <c r="CG234" i="1"/>
  <c r="BF234" i="1"/>
  <c r="AE234" i="1"/>
  <c r="DD231" i="1"/>
  <c r="DC231" i="1"/>
  <c r="DB231" i="1"/>
  <c r="DA231" i="1"/>
  <c r="CZ231" i="1"/>
  <c r="CY231" i="1"/>
  <c r="CX231" i="1"/>
  <c r="CW231" i="1"/>
  <c r="CV231" i="1"/>
  <c r="CU231" i="1"/>
  <c r="CT231" i="1"/>
  <c r="CS231" i="1"/>
  <c r="CR231" i="1"/>
  <c r="CQ231" i="1"/>
  <c r="CP231" i="1"/>
  <c r="CO231" i="1"/>
  <c r="CN231" i="1"/>
  <c r="CM231" i="1"/>
  <c r="CL231" i="1"/>
  <c r="CK231" i="1"/>
  <c r="CJ231" i="1"/>
  <c r="CI231" i="1"/>
  <c r="CH231" i="1"/>
  <c r="CG231" i="1"/>
  <c r="CC231" i="1"/>
  <c r="CB231" i="1"/>
  <c r="CA231" i="1"/>
  <c r="BZ231" i="1"/>
  <c r="BY231" i="1"/>
  <c r="BX231" i="1"/>
  <c r="BW231" i="1"/>
  <c r="BV231" i="1"/>
  <c r="BU231" i="1"/>
  <c r="BT231" i="1"/>
  <c r="BS231" i="1"/>
  <c r="BR231" i="1"/>
  <c r="BQ231" i="1"/>
  <c r="BP231" i="1"/>
  <c r="BO231" i="1"/>
  <c r="BN231" i="1"/>
  <c r="BM231" i="1"/>
  <c r="BL231" i="1"/>
  <c r="BK231" i="1"/>
  <c r="BJ231" i="1"/>
  <c r="BI231" i="1"/>
  <c r="BH231" i="1"/>
  <c r="BG231" i="1"/>
  <c r="BF231" i="1"/>
  <c r="BB231" i="1"/>
  <c r="BA231" i="1"/>
  <c r="AZ231" i="1"/>
  <c r="AY231" i="1"/>
  <c r="AX231" i="1"/>
  <c r="AW231" i="1"/>
  <c r="AV231" i="1"/>
  <c r="AU231" i="1"/>
  <c r="AT231" i="1"/>
  <c r="AS231" i="1"/>
  <c r="AR231" i="1"/>
  <c r="AQ231" i="1"/>
  <c r="AP231" i="1"/>
  <c r="AO231" i="1"/>
  <c r="AN231" i="1"/>
  <c r="AM231" i="1"/>
  <c r="AL231" i="1"/>
  <c r="AK231" i="1"/>
  <c r="AJ231" i="1"/>
  <c r="AI231" i="1"/>
  <c r="AH231" i="1"/>
  <c r="AG231" i="1"/>
  <c r="AF231" i="1"/>
  <c r="AE231" i="1"/>
  <c r="CG230" i="1"/>
  <c r="BF230" i="1"/>
  <c r="AK230" i="1"/>
  <c r="AJ230" i="1"/>
  <c r="AI230" i="1"/>
  <c r="AH230" i="1"/>
  <c r="AG230" i="1"/>
  <c r="AF230" i="1"/>
  <c r="AE230" i="1"/>
  <c r="DD228" i="1"/>
  <c r="DC228" i="1"/>
  <c r="DB228" i="1"/>
  <c r="DA228" i="1"/>
  <c r="CZ228" i="1"/>
  <c r="CY228" i="1"/>
  <c r="CX228" i="1"/>
  <c r="CW228" i="1"/>
  <c r="CV228" i="1"/>
  <c r="CU228" i="1"/>
  <c r="CT228" i="1"/>
  <c r="CS228" i="1"/>
  <c r="CR228" i="1"/>
  <c r="CQ228" i="1"/>
  <c r="CP228" i="1"/>
  <c r="CO228" i="1"/>
  <c r="CN228" i="1"/>
  <c r="CM228" i="1"/>
  <c r="CL228" i="1"/>
  <c r="CK228" i="1"/>
  <c r="CJ228" i="1"/>
  <c r="CI228" i="1"/>
  <c r="CH228" i="1"/>
  <c r="CG228" i="1"/>
  <c r="CC228" i="1"/>
  <c r="CB228" i="1"/>
  <c r="CA228" i="1"/>
  <c r="BZ228" i="1"/>
  <c r="BY228" i="1"/>
  <c r="BX228" i="1"/>
  <c r="BW228" i="1"/>
  <c r="BV228" i="1"/>
  <c r="BU228" i="1"/>
  <c r="BT228" i="1"/>
  <c r="BS228" i="1"/>
  <c r="BR228" i="1"/>
  <c r="BQ228" i="1"/>
  <c r="BP228" i="1"/>
  <c r="BO228" i="1"/>
  <c r="BN228" i="1"/>
  <c r="BM228" i="1"/>
  <c r="BL228" i="1"/>
  <c r="BK228" i="1"/>
  <c r="BJ228" i="1"/>
  <c r="BI228" i="1"/>
  <c r="BH228" i="1"/>
  <c r="BG228" i="1"/>
  <c r="BF228" i="1"/>
  <c r="BB228" i="1"/>
  <c r="BA228" i="1"/>
  <c r="AZ228" i="1"/>
  <c r="AY228" i="1"/>
  <c r="AX228" i="1"/>
  <c r="AW228" i="1"/>
  <c r="AV228" i="1"/>
  <c r="AU228" i="1"/>
  <c r="AT228" i="1"/>
  <c r="AS228" i="1"/>
  <c r="AR228" i="1"/>
  <c r="AQ228" i="1"/>
  <c r="AP228" i="1"/>
  <c r="AO228" i="1"/>
  <c r="AN228" i="1"/>
  <c r="AM228" i="1"/>
  <c r="AL228" i="1"/>
  <c r="AK228" i="1"/>
  <c r="AJ228" i="1"/>
  <c r="AI228" i="1"/>
  <c r="AH228" i="1"/>
  <c r="AG228" i="1"/>
  <c r="AF228" i="1"/>
  <c r="AE228" i="1"/>
  <c r="DD227" i="1"/>
  <c r="DC227" i="1"/>
  <c r="DB227" i="1"/>
  <c r="DA227" i="1"/>
  <c r="CZ227" i="1"/>
  <c r="CY227" i="1"/>
  <c r="CX227" i="1"/>
  <c r="CW227" i="1"/>
  <c r="CV227" i="1"/>
  <c r="CU227" i="1"/>
  <c r="CT227" i="1"/>
  <c r="CS227" i="1"/>
  <c r="CR227" i="1"/>
  <c r="CQ227" i="1"/>
  <c r="CP227" i="1"/>
  <c r="CO227" i="1"/>
  <c r="CN227" i="1"/>
  <c r="CM227" i="1"/>
  <c r="CL227" i="1"/>
  <c r="CK227" i="1"/>
  <c r="CJ227" i="1"/>
  <c r="CI227" i="1"/>
  <c r="CH227" i="1"/>
  <c r="CG227" i="1"/>
  <c r="CC227" i="1"/>
  <c r="CB227" i="1"/>
  <c r="CA227" i="1"/>
  <c r="BZ227" i="1"/>
  <c r="BY227" i="1"/>
  <c r="BX227" i="1"/>
  <c r="BW227" i="1"/>
  <c r="BV227" i="1"/>
  <c r="BU227" i="1"/>
  <c r="BT227" i="1"/>
  <c r="BS227" i="1"/>
  <c r="BR227" i="1"/>
  <c r="BQ227" i="1"/>
  <c r="BP227" i="1"/>
  <c r="BO227" i="1"/>
  <c r="BN227" i="1"/>
  <c r="BM227" i="1"/>
  <c r="BL227" i="1"/>
  <c r="BK227" i="1"/>
  <c r="BJ227" i="1"/>
  <c r="BI227" i="1"/>
  <c r="BH227" i="1"/>
  <c r="BG227" i="1"/>
  <c r="BF227" i="1"/>
  <c r="BB227" i="1"/>
  <c r="BA227" i="1"/>
  <c r="AZ227" i="1"/>
  <c r="AY227" i="1"/>
  <c r="AX227" i="1"/>
  <c r="AW227" i="1"/>
  <c r="AV227" i="1"/>
  <c r="AU227" i="1"/>
  <c r="AT227" i="1"/>
  <c r="AS227" i="1"/>
  <c r="AR227" i="1"/>
  <c r="AQ227" i="1"/>
  <c r="AP227" i="1"/>
  <c r="AO227" i="1"/>
  <c r="AN227" i="1"/>
  <c r="AM227" i="1"/>
  <c r="AL227" i="1"/>
  <c r="AK227" i="1"/>
  <c r="AJ227" i="1"/>
  <c r="AI227" i="1"/>
  <c r="AH227" i="1"/>
  <c r="AG227" i="1"/>
  <c r="AF227" i="1"/>
  <c r="AE227" i="1"/>
  <c r="CG224" i="1"/>
  <c r="BF224" i="1"/>
  <c r="AE224" i="1"/>
  <c r="CG221" i="1"/>
  <c r="BF221" i="1"/>
  <c r="AE221" i="1"/>
  <c r="CG215" i="1"/>
  <c r="BF215" i="1"/>
  <c r="AE215" i="1"/>
  <c r="DD213" i="1"/>
  <c r="DC213" i="1"/>
  <c r="DB213" i="1"/>
  <c r="DA213" i="1"/>
  <c r="CZ213" i="1"/>
  <c r="CY213" i="1"/>
  <c r="CX213" i="1"/>
  <c r="CW213" i="1"/>
  <c r="CV213" i="1"/>
  <c r="CU213" i="1"/>
  <c r="CT213" i="1"/>
  <c r="CS213" i="1"/>
  <c r="CR213" i="1"/>
  <c r="CQ213" i="1"/>
  <c r="CP213" i="1"/>
  <c r="CO213" i="1"/>
  <c r="CN213" i="1"/>
  <c r="CM213" i="1"/>
  <c r="CL213" i="1"/>
  <c r="CK213" i="1"/>
  <c r="CJ213" i="1"/>
  <c r="CI213" i="1"/>
  <c r="CH213" i="1"/>
  <c r="CG213" i="1"/>
  <c r="CC213" i="1"/>
  <c r="CB213" i="1"/>
  <c r="CA213" i="1"/>
  <c r="BZ213" i="1"/>
  <c r="BY213" i="1"/>
  <c r="BX213" i="1"/>
  <c r="BW213" i="1"/>
  <c r="BV213" i="1"/>
  <c r="BU213" i="1"/>
  <c r="BT213" i="1"/>
  <c r="BS213" i="1"/>
  <c r="BR213" i="1"/>
  <c r="BQ213" i="1"/>
  <c r="BP213" i="1"/>
  <c r="BO213" i="1"/>
  <c r="BN213" i="1"/>
  <c r="BM213" i="1"/>
  <c r="BL213" i="1"/>
  <c r="BK213" i="1"/>
  <c r="BJ213" i="1"/>
  <c r="BI213" i="1"/>
  <c r="BH213" i="1"/>
  <c r="BG213" i="1"/>
  <c r="BF213" i="1"/>
  <c r="BB213" i="1"/>
  <c r="BA213" i="1"/>
  <c r="AZ213" i="1"/>
  <c r="AY213" i="1"/>
  <c r="AX213" i="1"/>
  <c r="AW213" i="1"/>
  <c r="AV213" i="1"/>
  <c r="AU213" i="1"/>
  <c r="AT213" i="1"/>
  <c r="AS213" i="1"/>
  <c r="AR213" i="1"/>
  <c r="AQ213" i="1"/>
  <c r="AP213" i="1"/>
  <c r="AO213" i="1"/>
  <c r="AN213" i="1"/>
  <c r="AM213" i="1"/>
  <c r="AL213" i="1"/>
  <c r="AK213" i="1"/>
  <c r="AJ213" i="1"/>
  <c r="AI213" i="1"/>
  <c r="AH213" i="1"/>
  <c r="AG213" i="1"/>
  <c r="AF213" i="1"/>
  <c r="AE213" i="1"/>
  <c r="DD209" i="1"/>
  <c r="DC209" i="1"/>
  <c r="DB209" i="1"/>
  <c r="DA209" i="1"/>
  <c r="CZ209" i="1"/>
  <c r="CY209" i="1"/>
  <c r="CX209" i="1"/>
  <c r="CW209" i="1"/>
  <c r="CV209" i="1"/>
  <c r="CU209" i="1"/>
  <c r="CT209" i="1"/>
  <c r="CS209" i="1"/>
  <c r="CR209" i="1"/>
  <c r="CQ209" i="1"/>
  <c r="CP209" i="1"/>
  <c r="CO209" i="1"/>
  <c r="CN209" i="1"/>
  <c r="CM209" i="1"/>
  <c r="CL209" i="1"/>
  <c r="CK209" i="1"/>
  <c r="CJ209" i="1"/>
  <c r="CI209" i="1"/>
  <c r="CH209" i="1"/>
  <c r="CG209" i="1"/>
  <c r="CC209" i="1"/>
  <c r="CB209" i="1"/>
  <c r="CA209" i="1"/>
  <c r="BZ209" i="1"/>
  <c r="BY209" i="1"/>
  <c r="BX209" i="1"/>
  <c r="BW209" i="1"/>
  <c r="BV209" i="1"/>
  <c r="BU209" i="1"/>
  <c r="BT209" i="1"/>
  <c r="BS209" i="1"/>
  <c r="BR209" i="1"/>
  <c r="BQ209" i="1"/>
  <c r="BP209" i="1"/>
  <c r="BO209" i="1"/>
  <c r="BN209" i="1"/>
  <c r="BM209" i="1"/>
  <c r="BL209" i="1"/>
  <c r="BK209" i="1"/>
  <c r="BJ209" i="1"/>
  <c r="BI209" i="1"/>
  <c r="BH209" i="1"/>
  <c r="BG209" i="1"/>
  <c r="BF209" i="1"/>
  <c r="BB209" i="1"/>
  <c r="BA209" i="1"/>
  <c r="AZ209" i="1"/>
  <c r="AY209" i="1"/>
  <c r="AX209" i="1"/>
  <c r="AW209" i="1"/>
  <c r="AV209" i="1"/>
  <c r="AU209" i="1"/>
  <c r="AT209" i="1"/>
  <c r="AS209" i="1"/>
  <c r="AR209" i="1"/>
  <c r="AQ209" i="1"/>
  <c r="AP209" i="1"/>
  <c r="AO209" i="1"/>
  <c r="AN209" i="1"/>
  <c r="AM209" i="1"/>
  <c r="AL209" i="1"/>
  <c r="AK209" i="1"/>
  <c r="AJ209" i="1"/>
  <c r="AI209" i="1"/>
  <c r="AH209" i="1"/>
  <c r="AG209" i="1"/>
  <c r="AF209" i="1"/>
  <c r="AE209" i="1"/>
  <c r="DD208" i="1"/>
  <c r="DC208" i="1"/>
  <c r="DB208" i="1"/>
  <c r="DA208" i="1"/>
  <c r="CZ208" i="1"/>
  <c r="CY208" i="1"/>
  <c r="CX208" i="1"/>
  <c r="CW208" i="1"/>
  <c r="CV208" i="1"/>
  <c r="CU208" i="1"/>
  <c r="CT208" i="1"/>
  <c r="CS208" i="1"/>
  <c r="CR208" i="1"/>
  <c r="CQ208" i="1"/>
  <c r="CP208" i="1"/>
  <c r="CO208" i="1"/>
  <c r="CN208" i="1"/>
  <c r="CM208" i="1"/>
  <c r="CL208" i="1"/>
  <c r="CK208" i="1"/>
  <c r="CJ208" i="1"/>
  <c r="CI208" i="1"/>
  <c r="CH208" i="1"/>
  <c r="CG208" i="1"/>
  <c r="CC208" i="1"/>
  <c r="CB208" i="1"/>
  <c r="CA208" i="1"/>
  <c r="BZ208" i="1"/>
  <c r="BY208" i="1"/>
  <c r="BX208" i="1"/>
  <c r="BW208" i="1"/>
  <c r="BV208" i="1"/>
  <c r="BU208" i="1"/>
  <c r="BT208" i="1"/>
  <c r="BS208" i="1"/>
  <c r="BR208" i="1"/>
  <c r="BQ208" i="1"/>
  <c r="BP208" i="1"/>
  <c r="BO208" i="1"/>
  <c r="BN208" i="1"/>
  <c r="BM208" i="1"/>
  <c r="BL208" i="1"/>
  <c r="BK208" i="1"/>
  <c r="BJ208" i="1"/>
  <c r="BI208" i="1"/>
  <c r="BH208" i="1"/>
  <c r="BG208" i="1"/>
  <c r="BF208" i="1"/>
  <c r="BB208" i="1"/>
  <c r="BA208" i="1"/>
  <c r="AZ208" i="1"/>
  <c r="AY208" i="1"/>
  <c r="AX208" i="1"/>
  <c r="AW208" i="1"/>
  <c r="AV208" i="1"/>
  <c r="AU208" i="1"/>
  <c r="AT208" i="1"/>
  <c r="AS208" i="1"/>
  <c r="AR208" i="1"/>
  <c r="AQ208" i="1"/>
  <c r="AP208" i="1"/>
  <c r="AO208" i="1"/>
  <c r="AN208" i="1"/>
  <c r="AM208" i="1"/>
  <c r="AL208" i="1"/>
  <c r="AK208" i="1"/>
  <c r="AJ208" i="1"/>
  <c r="AI208" i="1"/>
  <c r="AH208" i="1"/>
  <c r="AG208" i="1"/>
  <c r="AF208" i="1"/>
  <c r="AE208" i="1"/>
  <c r="DD207" i="1"/>
  <c r="DC207" i="1"/>
  <c r="DB207" i="1"/>
  <c r="DA207" i="1"/>
  <c r="CZ207" i="1"/>
  <c r="CY207" i="1"/>
  <c r="CX207" i="1"/>
  <c r="CW207" i="1"/>
  <c r="CV207" i="1"/>
  <c r="CU207" i="1"/>
  <c r="CT207" i="1"/>
  <c r="CS207" i="1"/>
  <c r="CR207" i="1"/>
  <c r="CQ207" i="1"/>
  <c r="CP207" i="1"/>
  <c r="CO207" i="1"/>
  <c r="CN207" i="1"/>
  <c r="CM207" i="1"/>
  <c r="CL207" i="1"/>
  <c r="CK207" i="1"/>
  <c r="CJ207" i="1"/>
  <c r="CI207" i="1"/>
  <c r="CH207" i="1"/>
  <c r="CG207" i="1"/>
  <c r="CC207" i="1"/>
  <c r="CB207" i="1"/>
  <c r="CA207" i="1"/>
  <c r="BZ207" i="1"/>
  <c r="BY207" i="1"/>
  <c r="BX207" i="1"/>
  <c r="BW207" i="1"/>
  <c r="BV207" i="1"/>
  <c r="BU207" i="1"/>
  <c r="BT207" i="1"/>
  <c r="BS207" i="1"/>
  <c r="BR207" i="1"/>
  <c r="BQ207" i="1"/>
  <c r="BP207" i="1"/>
  <c r="BO207" i="1"/>
  <c r="BN207" i="1"/>
  <c r="BM207" i="1"/>
  <c r="BL207" i="1"/>
  <c r="BK207" i="1"/>
  <c r="BJ207" i="1"/>
  <c r="BI207" i="1"/>
  <c r="BH207" i="1"/>
  <c r="BG207" i="1"/>
  <c r="BF207" i="1"/>
  <c r="BB207" i="1"/>
  <c r="BA207" i="1"/>
  <c r="AZ207" i="1"/>
  <c r="AY207" i="1"/>
  <c r="AX207" i="1"/>
  <c r="AW207" i="1"/>
  <c r="AV207" i="1"/>
  <c r="AU207" i="1"/>
  <c r="AT207" i="1"/>
  <c r="AS207" i="1"/>
  <c r="AR207" i="1"/>
  <c r="AQ207" i="1"/>
  <c r="AP207" i="1"/>
  <c r="AO207" i="1"/>
  <c r="AN207" i="1"/>
  <c r="AM207" i="1"/>
  <c r="AL207" i="1"/>
  <c r="AK207" i="1"/>
  <c r="AJ207" i="1"/>
  <c r="AI207" i="1"/>
  <c r="AH207" i="1"/>
  <c r="AG207" i="1"/>
  <c r="AF207" i="1"/>
  <c r="AE207" i="1"/>
  <c r="DD206" i="1"/>
  <c r="DC206" i="1"/>
  <c r="DB206" i="1"/>
  <c r="DA206" i="1"/>
  <c r="CZ206" i="1"/>
  <c r="CY206" i="1"/>
  <c r="CX206" i="1"/>
  <c r="CW206" i="1"/>
  <c r="CV206" i="1"/>
  <c r="CU206" i="1"/>
  <c r="CT206" i="1"/>
  <c r="CS206" i="1"/>
  <c r="CR206" i="1"/>
  <c r="CQ206" i="1"/>
  <c r="CP206" i="1"/>
  <c r="CO206" i="1"/>
  <c r="CN206" i="1"/>
  <c r="CM206" i="1"/>
  <c r="CL206" i="1"/>
  <c r="CK206" i="1"/>
  <c r="CJ206" i="1"/>
  <c r="CI206" i="1"/>
  <c r="CH206" i="1"/>
  <c r="CG206" i="1"/>
  <c r="CC206" i="1"/>
  <c r="CB206" i="1"/>
  <c r="CA206" i="1"/>
  <c r="BZ206" i="1"/>
  <c r="BY206" i="1"/>
  <c r="BX206" i="1"/>
  <c r="BW206" i="1"/>
  <c r="BV206" i="1"/>
  <c r="BU206" i="1"/>
  <c r="BT206" i="1"/>
  <c r="BS206" i="1"/>
  <c r="BR206" i="1"/>
  <c r="BQ206" i="1"/>
  <c r="BP206" i="1"/>
  <c r="BO206" i="1"/>
  <c r="BN206" i="1"/>
  <c r="BM206" i="1"/>
  <c r="BL206" i="1"/>
  <c r="BK206" i="1"/>
  <c r="BJ206" i="1"/>
  <c r="BI206" i="1"/>
  <c r="BH206" i="1"/>
  <c r="BG206" i="1"/>
  <c r="BF206" i="1"/>
  <c r="BB206" i="1"/>
  <c r="BA206" i="1"/>
  <c r="AZ206" i="1"/>
  <c r="AY206" i="1"/>
  <c r="AX206" i="1"/>
  <c r="AW206" i="1"/>
  <c r="AV206" i="1"/>
  <c r="AU206" i="1"/>
  <c r="AT206" i="1"/>
  <c r="AS206" i="1"/>
  <c r="AR206" i="1"/>
  <c r="AQ206" i="1"/>
  <c r="AP206" i="1"/>
  <c r="AO206" i="1"/>
  <c r="AN206" i="1"/>
  <c r="AM206" i="1"/>
  <c r="AL206" i="1"/>
  <c r="AK206" i="1"/>
  <c r="AJ206" i="1"/>
  <c r="AI206" i="1"/>
  <c r="AH206" i="1"/>
  <c r="AG206" i="1"/>
  <c r="AF206" i="1"/>
  <c r="AE206" i="1"/>
  <c r="DD205" i="1"/>
  <c r="DC205" i="1"/>
  <c r="DB205" i="1"/>
  <c r="DA205" i="1"/>
  <c r="CZ205" i="1"/>
  <c r="CY205" i="1"/>
  <c r="CX205" i="1"/>
  <c r="CW205" i="1"/>
  <c r="CV205" i="1"/>
  <c r="CU205" i="1"/>
  <c r="CT205" i="1"/>
  <c r="CS205" i="1"/>
  <c r="CR205" i="1"/>
  <c r="CQ205" i="1"/>
  <c r="CP205" i="1"/>
  <c r="CO205" i="1"/>
  <c r="CN205" i="1"/>
  <c r="CM205" i="1"/>
  <c r="CL205" i="1"/>
  <c r="CK205" i="1"/>
  <c r="CJ205" i="1"/>
  <c r="CI205" i="1"/>
  <c r="CH205" i="1"/>
  <c r="CG205" i="1"/>
  <c r="CC205" i="1"/>
  <c r="CB205" i="1"/>
  <c r="CA205" i="1"/>
  <c r="BZ205" i="1"/>
  <c r="BY205" i="1"/>
  <c r="BX205" i="1"/>
  <c r="BW205" i="1"/>
  <c r="BV205" i="1"/>
  <c r="BU205" i="1"/>
  <c r="BT205" i="1"/>
  <c r="BS205" i="1"/>
  <c r="BR205" i="1"/>
  <c r="BQ205" i="1"/>
  <c r="BP205" i="1"/>
  <c r="BO205" i="1"/>
  <c r="BN205" i="1"/>
  <c r="BM205" i="1"/>
  <c r="BL205" i="1"/>
  <c r="BK205" i="1"/>
  <c r="BJ205" i="1"/>
  <c r="BI205" i="1"/>
  <c r="BH205" i="1"/>
  <c r="BG205" i="1"/>
  <c r="BF205" i="1"/>
  <c r="BB205" i="1"/>
  <c r="BA205" i="1"/>
  <c r="AZ205" i="1"/>
  <c r="AY205" i="1"/>
  <c r="AX205" i="1"/>
  <c r="AW205" i="1"/>
  <c r="AV205" i="1"/>
  <c r="AU205" i="1"/>
  <c r="AT205" i="1"/>
  <c r="AS205" i="1"/>
  <c r="AR205" i="1"/>
  <c r="AQ205" i="1"/>
  <c r="AP205" i="1"/>
  <c r="AO205" i="1"/>
  <c r="AN205" i="1"/>
  <c r="AM205" i="1"/>
  <c r="AL205" i="1"/>
  <c r="AK205" i="1"/>
  <c r="AJ205" i="1"/>
  <c r="AI205" i="1"/>
  <c r="AH205" i="1"/>
  <c r="AG205" i="1"/>
  <c r="AF205" i="1"/>
  <c r="AE205" i="1"/>
  <c r="DD204" i="1"/>
  <c r="DC204" i="1"/>
  <c r="DB204" i="1"/>
  <c r="DA204" i="1"/>
  <c r="CZ204" i="1"/>
  <c r="CY204" i="1"/>
  <c r="CX204" i="1"/>
  <c r="CW204" i="1"/>
  <c r="CV204" i="1"/>
  <c r="CU204" i="1"/>
  <c r="CT204" i="1"/>
  <c r="CS204" i="1"/>
  <c r="CR204" i="1"/>
  <c r="CQ204" i="1"/>
  <c r="CP204" i="1"/>
  <c r="CO204" i="1"/>
  <c r="CN204" i="1"/>
  <c r="CM204" i="1"/>
  <c r="CL204" i="1"/>
  <c r="CK204" i="1"/>
  <c r="CJ204" i="1"/>
  <c r="CI204" i="1"/>
  <c r="CH204" i="1"/>
  <c r="CG204" i="1"/>
  <c r="CC204" i="1"/>
  <c r="CB204" i="1"/>
  <c r="CA204" i="1"/>
  <c r="BZ204" i="1"/>
  <c r="BY204" i="1"/>
  <c r="BX204" i="1"/>
  <c r="BW204" i="1"/>
  <c r="BV204" i="1"/>
  <c r="BU204" i="1"/>
  <c r="BT204" i="1"/>
  <c r="BS204" i="1"/>
  <c r="BR204" i="1"/>
  <c r="BQ204" i="1"/>
  <c r="BP204" i="1"/>
  <c r="BO204" i="1"/>
  <c r="BN204" i="1"/>
  <c r="BM204" i="1"/>
  <c r="BL204" i="1"/>
  <c r="BK204" i="1"/>
  <c r="BJ204" i="1"/>
  <c r="BI204" i="1"/>
  <c r="BH204" i="1"/>
  <c r="BG204" i="1"/>
  <c r="BF204" i="1"/>
  <c r="BB204" i="1"/>
  <c r="BA204" i="1"/>
  <c r="AZ204" i="1"/>
  <c r="AY204" i="1"/>
  <c r="AX204" i="1"/>
  <c r="AW204" i="1"/>
  <c r="AV204" i="1"/>
  <c r="AU204" i="1"/>
  <c r="AT204" i="1"/>
  <c r="AS204" i="1"/>
  <c r="AR204" i="1"/>
  <c r="AQ204" i="1"/>
  <c r="AP204" i="1"/>
  <c r="AO204" i="1"/>
  <c r="AN204" i="1"/>
  <c r="AM204" i="1"/>
  <c r="AL204" i="1"/>
  <c r="AK204" i="1"/>
  <c r="AJ204" i="1"/>
  <c r="AI204" i="1"/>
  <c r="AH204" i="1"/>
  <c r="AG204" i="1"/>
  <c r="AF204" i="1"/>
  <c r="AE204" i="1"/>
  <c r="DD199" i="1"/>
  <c r="DC199" i="1"/>
  <c r="DB199" i="1"/>
  <c r="DA199" i="1"/>
  <c r="CZ199" i="1"/>
  <c r="CY199" i="1"/>
  <c r="CX199" i="1"/>
  <c r="CW199" i="1"/>
  <c r="CV199" i="1"/>
  <c r="CU199" i="1"/>
  <c r="CT199" i="1"/>
  <c r="CS199" i="1"/>
  <c r="CR199" i="1"/>
  <c r="CQ199" i="1"/>
  <c r="CP199" i="1"/>
  <c r="CO199" i="1"/>
  <c r="CN199" i="1"/>
  <c r="CM199" i="1"/>
  <c r="CL199" i="1"/>
  <c r="CK199" i="1"/>
  <c r="CJ199" i="1"/>
  <c r="CI199" i="1"/>
  <c r="CH199" i="1"/>
  <c r="CG199" i="1"/>
  <c r="CC199" i="1"/>
  <c r="CB199" i="1"/>
  <c r="CA199" i="1"/>
  <c r="BZ199" i="1"/>
  <c r="BY199" i="1"/>
  <c r="BX199" i="1"/>
  <c r="BW199" i="1"/>
  <c r="BV199" i="1"/>
  <c r="BU199" i="1"/>
  <c r="BT199" i="1"/>
  <c r="BS199" i="1"/>
  <c r="BR199" i="1"/>
  <c r="BQ199" i="1"/>
  <c r="BP199" i="1"/>
  <c r="BO199" i="1"/>
  <c r="BN199" i="1"/>
  <c r="BM199" i="1"/>
  <c r="BL199" i="1"/>
  <c r="BK199" i="1"/>
  <c r="BJ199" i="1"/>
  <c r="BI199" i="1"/>
  <c r="BH199" i="1"/>
  <c r="BG199" i="1"/>
  <c r="BF199" i="1"/>
  <c r="BB199" i="1"/>
  <c r="BA199" i="1"/>
  <c r="AZ199" i="1"/>
  <c r="AY199" i="1"/>
  <c r="AX199" i="1"/>
  <c r="AW199" i="1"/>
  <c r="AV199" i="1"/>
  <c r="AU199" i="1"/>
  <c r="AT199" i="1"/>
  <c r="AS199" i="1"/>
  <c r="AR199" i="1"/>
  <c r="AQ199" i="1"/>
  <c r="AP199" i="1"/>
  <c r="AO199" i="1"/>
  <c r="AN199" i="1"/>
  <c r="AM199" i="1"/>
  <c r="AL199" i="1"/>
  <c r="AK199" i="1"/>
  <c r="AJ199" i="1"/>
  <c r="AI199" i="1"/>
  <c r="AH199" i="1"/>
  <c r="AG199" i="1"/>
  <c r="AF199" i="1"/>
  <c r="AE199" i="1"/>
  <c r="DD198" i="1"/>
  <c r="DC198" i="1"/>
  <c r="DB198" i="1"/>
  <c r="DA198" i="1"/>
  <c r="CZ198" i="1"/>
  <c r="CY198" i="1"/>
  <c r="CX198" i="1"/>
  <c r="CW198" i="1"/>
  <c r="CV198" i="1"/>
  <c r="CU198" i="1"/>
  <c r="CT198" i="1"/>
  <c r="CS198" i="1"/>
  <c r="CR198" i="1"/>
  <c r="CQ198" i="1"/>
  <c r="CP198" i="1"/>
  <c r="CO198" i="1"/>
  <c r="CN198" i="1"/>
  <c r="CM198" i="1"/>
  <c r="CL198" i="1"/>
  <c r="CK198" i="1"/>
  <c r="CJ198" i="1"/>
  <c r="CI198" i="1"/>
  <c r="CH198" i="1"/>
  <c r="CG198" i="1"/>
  <c r="CC198" i="1"/>
  <c r="CB198" i="1"/>
  <c r="CA198" i="1"/>
  <c r="BZ198" i="1"/>
  <c r="BY198" i="1"/>
  <c r="BX198" i="1"/>
  <c r="BW198" i="1"/>
  <c r="BV198" i="1"/>
  <c r="BU198" i="1"/>
  <c r="BT198" i="1"/>
  <c r="BS198" i="1"/>
  <c r="BR198" i="1"/>
  <c r="BQ198" i="1"/>
  <c r="BP198" i="1"/>
  <c r="BO198" i="1"/>
  <c r="BN198" i="1"/>
  <c r="BM198" i="1"/>
  <c r="BL198" i="1"/>
  <c r="BK198" i="1"/>
  <c r="BJ198" i="1"/>
  <c r="BI198" i="1"/>
  <c r="BH198" i="1"/>
  <c r="BG198" i="1"/>
  <c r="BF198" i="1"/>
  <c r="BB198" i="1"/>
  <c r="BA198" i="1"/>
  <c r="AZ198" i="1"/>
  <c r="AY198" i="1"/>
  <c r="AX198" i="1"/>
  <c r="AW198" i="1"/>
  <c r="AV198" i="1"/>
  <c r="AU198" i="1"/>
  <c r="AT198" i="1"/>
  <c r="AS198" i="1"/>
  <c r="AR198" i="1"/>
  <c r="AQ198" i="1"/>
  <c r="AP198" i="1"/>
  <c r="AO198" i="1"/>
  <c r="AN198" i="1"/>
  <c r="AM198" i="1"/>
  <c r="AL198" i="1"/>
  <c r="AK198" i="1"/>
  <c r="AJ198" i="1"/>
  <c r="AI198" i="1"/>
  <c r="AH198" i="1"/>
  <c r="AG198" i="1"/>
  <c r="AF198" i="1"/>
  <c r="AE198" i="1"/>
  <c r="DD197" i="1"/>
  <c r="DC197" i="1"/>
  <c r="DB197" i="1"/>
  <c r="DA197" i="1"/>
  <c r="CZ197" i="1"/>
  <c r="CY197" i="1"/>
  <c r="CX197" i="1"/>
  <c r="CW197" i="1"/>
  <c r="CV197" i="1"/>
  <c r="CU197" i="1"/>
  <c r="CT197" i="1"/>
  <c r="CS197" i="1"/>
  <c r="CR197" i="1"/>
  <c r="CQ197" i="1"/>
  <c r="CP197" i="1"/>
  <c r="CO197" i="1"/>
  <c r="CN197" i="1"/>
  <c r="CM197" i="1"/>
  <c r="CL197" i="1"/>
  <c r="CK197" i="1"/>
  <c r="CJ197" i="1"/>
  <c r="CI197" i="1"/>
  <c r="CH197" i="1"/>
  <c r="CG197" i="1"/>
  <c r="CC197" i="1"/>
  <c r="CB197" i="1"/>
  <c r="CA197" i="1"/>
  <c r="BZ197" i="1"/>
  <c r="BY197" i="1"/>
  <c r="BX197" i="1"/>
  <c r="BW197" i="1"/>
  <c r="BV197" i="1"/>
  <c r="BU197" i="1"/>
  <c r="BT197" i="1"/>
  <c r="BS197" i="1"/>
  <c r="BR197" i="1"/>
  <c r="BQ197" i="1"/>
  <c r="BP197" i="1"/>
  <c r="BO197" i="1"/>
  <c r="BN197" i="1"/>
  <c r="BM197" i="1"/>
  <c r="BL197" i="1"/>
  <c r="BK197" i="1"/>
  <c r="BJ197" i="1"/>
  <c r="BI197" i="1"/>
  <c r="BH197" i="1"/>
  <c r="BG197" i="1"/>
  <c r="BF197" i="1"/>
  <c r="BB197" i="1"/>
  <c r="BA197" i="1"/>
  <c r="AZ197" i="1"/>
  <c r="AY197" i="1"/>
  <c r="AX197" i="1"/>
  <c r="AW197" i="1"/>
  <c r="AV197" i="1"/>
  <c r="AU197" i="1"/>
  <c r="AT197" i="1"/>
  <c r="AS197" i="1"/>
  <c r="AR197" i="1"/>
  <c r="AQ197" i="1"/>
  <c r="AP197" i="1"/>
  <c r="AO197" i="1"/>
  <c r="AN197" i="1"/>
  <c r="AM197" i="1"/>
  <c r="AL197" i="1"/>
  <c r="AK197" i="1"/>
  <c r="AJ197" i="1"/>
  <c r="AI197" i="1"/>
  <c r="AH197" i="1"/>
  <c r="AG197" i="1"/>
  <c r="AF197" i="1"/>
  <c r="AE197" i="1"/>
  <c r="DD196" i="1"/>
  <c r="DC196" i="1"/>
  <c r="DB196" i="1"/>
  <c r="DA196" i="1"/>
  <c r="CZ196" i="1"/>
  <c r="CY196" i="1"/>
  <c r="CX196" i="1"/>
  <c r="CW196" i="1"/>
  <c r="CV196" i="1"/>
  <c r="CU196" i="1"/>
  <c r="CT196" i="1"/>
  <c r="CS196" i="1"/>
  <c r="CR196" i="1"/>
  <c r="CQ196" i="1"/>
  <c r="CP196" i="1"/>
  <c r="CO196" i="1"/>
  <c r="CN196" i="1"/>
  <c r="CM196" i="1"/>
  <c r="CL196" i="1"/>
  <c r="CK196" i="1"/>
  <c r="CJ196" i="1"/>
  <c r="CI196" i="1"/>
  <c r="CH196" i="1"/>
  <c r="CG196" i="1"/>
  <c r="CC196" i="1"/>
  <c r="CB196" i="1"/>
  <c r="CA196" i="1"/>
  <c r="BZ196" i="1"/>
  <c r="BY196" i="1"/>
  <c r="BX196" i="1"/>
  <c r="BW196" i="1"/>
  <c r="BV196" i="1"/>
  <c r="BU196" i="1"/>
  <c r="BT196" i="1"/>
  <c r="BS196" i="1"/>
  <c r="BR196" i="1"/>
  <c r="BQ196" i="1"/>
  <c r="BP196" i="1"/>
  <c r="BO196" i="1"/>
  <c r="BN196" i="1"/>
  <c r="BM196" i="1"/>
  <c r="BL196" i="1"/>
  <c r="BK196" i="1"/>
  <c r="BJ196" i="1"/>
  <c r="BI196" i="1"/>
  <c r="BH196" i="1"/>
  <c r="BG196" i="1"/>
  <c r="BF196" i="1"/>
  <c r="BB196" i="1"/>
  <c r="BA196" i="1"/>
  <c r="AZ196" i="1"/>
  <c r="AY196" i="1"/>
  <c r="AX196" i="1"/>
  <c r="AW196" i="1"/>
  <c r="AV196" i="1"/>
  <c r="AU196" i="1"/>
  <c r="AT196" i="1"/>
  <c r="AS196" i="1"/>
  <c r="AR196" i="1"/>
  <c r="AQ196" i="1"/>
  <c r="AP196" i="1"/>
  <c r="AO196" i="1"/>
  <c r="AN196" i="1"/>
  <c r="AM196" i="1"/>
  <c r="AL196" i="1"/>
  <c r="AK196" i="1"/>
  <c r="AJ196" i="1"/>
  <c r="AI196" i="1"/>
  <c r="AH196" i="1"/>
  <c r="AG196" i="1"/>
  <c r="AF196" i="1"/>
  <c r="AE196" i="1"/>
  <c r="DD189" i="1"/>
  <c r="DC189" i="1"/>
  <c r="DB189" i="1"/>
  <c r="DA189" i="1"/>
  <c r="CZ189" i="1"/>
  <c r="CY189" i="1"/>
  <c r="CX189" i="1"/>
  <c r="CW189" i="1"/>
  <c r="CV189" i="1"/>
  <c r="CU189" i="1"/>
  <c r="CT189" i="1"/>
  <c r="CS189" i="1"/>
  <c r="CR189" i="1"/>
  <c r="CQ189" i="1"/>
  <c r="CP189" i="1"/>
  <c r="CO189" i="1"/>
  <c r="CN189" i="1"/>
  <c r="CM189" i="1"/>
  <c r="CL189" i="1"/>
  <c r="CK189" i="1"/>
  <c r="CJ189" i="1"/>
  <c r="CI189" i="1"/>
  <c r="CH189" i="1"/>
  <c r="CG189" i="1"/>
  <c r="CC189" i="1"/>
  <c r="CB189" i="1"/>
  <c r="CA189" i="1"/>
  <c r="BZ189" i="1"/>
  <c r="BY189" i="1"/>
  <c r="BX189" i="1"/>
  <c r="BW189" i="1"/>
  <c r="BV189" i="1"/>
  <c r="BU189" i="1"/>
  <c r="BT189" i="1"/>
  <c r="BS189" i="1"/>
  <c r="BR189" i="1"/>
  <c r="BQ189" i="1"/>
  <c r="BP189" i="1"/>
  <c r="BO189" i="1"/>
  <c r="BN189" i="1"/>
  <c r="BM189" i="1"/>
  <c r="BL189" i="1"/>
  <c r="BK189" i="1"/>
  <c r="BJ189" i="1"/>
  <c r="BI189" i="1"/>
  <c r="BH189" i="1"/>
  <c r="BG189" i="1"/>
  <c r="BF189" i="1"/>
  <c r="BB189" i="1"/>
  <c r="BA189" i="1"/>
  <c r="AZ189" i="1"/>
  <c r="AY189" i="1"/>
  <c r="AX189" i="1"/>
  <c r="AW189" i="1"/>
  <c r="AV189" i="1"/>
  <c r="AU189" i="1"/>
  <c r="AT189" i="1"/>
  <c r="AS189" i="1"/>
  <c r="AR189" i="1"/>
  <c r="AQ189" i="1"/>
  <c r="AP189" i="1"/>
  <c r="AO189" i="1"/>
  <c r="AN189" i="1"/>
  <c r="AM189" i="1"/>
  <c r="AL189" i="1"/>
  <c r="AK189" i="1"/>
  <c r="AJ189" i="1"/>
  <c r="AI189" i="1"/>
  <c r="AH189" i="1"/>
  <c r="AG189" i="1"/>
  <c r="AF189" i="1"/>
  <c r="AE189" i="1"/>
  <c r="DD188" i="1"/>
  <c r="DC188" i="1"/>
  <c r="DB188" i="1"/>
  <c r="DA188" i="1"/>
  <c r="CZ188" i="1"/>
  <c r="CY188" i="1"/>
  <c r="CX188" i="1"/>
  <c r="CW188" i="1"/>
  <c r="CV188" i="1"/>
  <c r="CU188" i="1"/>
  <c r="CT188" i="1"/>
  <c r="CS188" i="1"/>
  <c r="CR188" i="1"/>
  <c r="CQ188" i="1"/>
  <c r="CP188" i="1"/>
  <c r="CO188" i="1"/>
  <c r="CN188" i="1"/>
  <c r="CM188" i="1"/>
  <c r="CL188" i="1"/>
  <c r="CK188" i="1"/>
  <c r="CJ188" i="1"/>
  <c r="CI188" i="1"/>
  <c r="CH188" i="1"/>
  <c r="CG188" i="1"/>
  <c r="CC188" i="1"/>
  <c r="CB188" i="1"/>
  <c r="CA188" i="1"/>
  <c r="BZ188" i="1"/>
  <c r="BY188" i="1"/>
  <c r="BX188" i="1"/>
  <c r="BW188" i="1"/>
  <c r="BV188" i="1"/>
  <c r="BU188" i="1"/>
  <c r="BT188" i="1"/>
  <c r="BS188" i="1"/>
  <c r="BR188" i="1"/>
  <c r="BQ188" i="1"/>
  <c r="BP188" i="1"/>
  <c r="BO188" i="1"/>
  <c r="BN188" i="1"/>
  <c r="BM188" i="1"/>
  <c r="BL188" i="1"/>
  <c r="BK188" i="1"/>
  <c r="BJ188" i="1"/>
  <c r="BI188" i="1"/>
  <c r="BH188" i="1"/>
  <c r="BG188" i="1"/>
  <c r="BF188" i="1"/>
  <c r="BB188" i="1"/>
  <c r="BA188" i="1"/>
  <c r="AZ188" i="1"/>
  <c r="AY188" i="1"/>
  <c r="AX188" i="1"/>
  <c r="AW188" i="1"/>
  <c r="AV188" i="1"/>
  <c r="AU188" i="1"/>
  <c r="AT188" i="1"/>
  <c r="AS188" i="1"/>
  <c r="AR188" i="1"/>
  <c r="AQ188" i="1"/>
  <c r="AP188" i="1"/>
  <c r="AO188" i="1"/>
  <c r="AN188" i="1"/>
  <c r="AM188" i="1"/>
  <c r="AL188" i="1"/>
  <c r="AK188" i="1"/>
  <c r="AJ188" i="1"/>
  <c r="AI188" i="1"/>
  <c r="AH188" i="1"/>
  <c r="AG188" i="1"/>
  <c r="AF188" i="1"/>
  <c r="AE188" i="1"/>
  <c r="DD187" i="1"/>
  <c r="DC187" i="1"/>
  <c r="DB187" i="1"/>
  <c r="DA187" i="1"/>
  <c r="CZ187" i="1"/>
  <c r="CY187" i="1"/>
  <c r="CX187" i="1"/>
  <c r="CW187" i="1"/>
  <c r="CV187" i="1"/>
  <c r="CU187" i="1"/>
  <c r="CT187" i="1"/>
  <c r="CS187" i="1"/>
  <c r="CR187" i="1"/>
  <c r="CQ187" i="1"/>
  <c r="CP187" i="1"/>
  <c r="CO187" i="1"/>
  <c r="CN187" i="1"/>
  <c r="CM187" i="1"/>
  <c r="CL187" i="1"/>
  <c r="CK187" i="1"/>
  <c r="CJ187" i="1"/>
  <c r="CI187" i="1"/>
  <c r="CH187" i="1"/>
  <c r="CG187" i="1"/>
  <c r="CC187" i="1"/>
  <c r="CB187" i="1"/>
  <c r="CA187" i="1"/>
  <c r="BZ187" i="1"/>
  <c r="BY187" i="1"/>
  <c r="BX187" i="1"/>
  <c r="BW187" i="1"/>
  <c r="BV187" i="1"/>
  <c r="BU187" i="1"/>
  <c r="BT187" i="1"/>
  <c r="BS187" i="1"/>
  <c r="BR187" i="1"/>
  <c r="BQ187" i="1"/>
  <c r="BP187" i="1"/>
  <c r="BO187" i="1"/>
  <c r="BN187" i="1"/>
  <c r="BM187" i="1"/>
  <c r="BL187" i="1"/>
  <c r="BK187" i="1"/>
  <c r="BJ187" i="1"/>
  <c r="BI187" i="1"/>
  <c r="BH187" i="1"/>
  <c r="BG187" i="1"/>
  <c r="BF187" i="1"/>
  <c r="BB187" i="1"/>
  <c r="BA187" i="1"/>
  <c r="AZ187" i="1"/>
  <c r="AY187" i="1"/>
  <c r="AX187" i="1"/>
  <c r="AW187" i="1"/>
  <c r="AV187" i="1"/>
  <c r="AU187" i="1"/>
  <c r="AT187" i="1"/>
  <c r="AS187" i="1"/>
  <c r="AR187" i="1"/>
  <c r="AQ187" i="1"/>
  <c r="AP187" i="1"/>
  <c r="AO187" i="1"/>
  <c r="AN187" i="1"/>
  <c r="AM187" i="1"/>
  <c r="AL187" i="1"/>
  <c r="AK187" i="1"/>
  <c r="AJ187" i="1"/>
  <c r="AI187" i="1"/>
  <c r="AH187" i="1"/>
  <c r="AG187" i="1"/>
  <c r="AF187" i="1"/>
  <c r="AE187" i="1"/>
  <c r="DD186" i="1"/>
  <c r="DC186" i="1"/>
  <c r="DB186" i="1"/>
  <c r="DA186" i="1"/>
  <c r="CZ186" i="1"/>
  <c r="CY186" i="1"/>
  <c r="CX186" i="1"/>
  <c r="CW186" i="1"/>
  <c r="CV186" i="1"/>
  <c r="CU186" i="1"/>
  <c r="CT186" i="1"/>
  <c r="CS186" i="1"/>
  <c r="CR186" i="1"/>
  <c r="CQ186" i="1"/>
  <c r="CP186" i="1"/>
  <c r="CO186" i="1"/>
  <c r="CN186" i="1"/>
  <c r="CM186" i="1"/>
  <c r="CL186" i="1"/>
  <c r="CK186" i="1"/>
  <c r="CJ186" i="1"/>
  <c r="CI186" i="1"/>
  <c r="CH186" i="1"/>
  <c r="CG186" i="1"/>
  <c r="CC186" i="1"/>
  <c r="CB186" i="1"/>
  <c r="CA186" i="1"/>
  <c r="BZ186" i="1"/>
  <c r="BY186" i="1"/>
  <c r="BX186" i="1"/>
  <c r="BW186" i="1"/>
  <c r="BV186" i="1"/>
  <c r="BU186" i="1"/>
  <c r="BT186" i="1"/>
  <c r="BS186" i="1"/>
  <c r="BR186" i="1"/>
  <c r="BQ186" i="1"/>
  <c r="BP186" i="1"/>
  <c r="BO186" i="1"/>
  <c r="BN186" i="1"/>
  <c r="BM186" i="1"/>
  <c r="BL186" i="1"/>
  <c r="BK186" i="1"/>
  <c r="BJ186" i="1"/>
  <c r="BI186" i="1"/>
  <c r="BH186" i="1"/>
  <c r="BG186" i="1"/>
  <c r="BF186" i="1"/>
  <c r="BB186" i="1"/>
  <c r="BA186" i="1"/>
  <c r="AZ186" i="1"/>
  <c r="AY186" i="1"/>
  <c r="AX186" i="1"/>
  <c r="AW186" i="1"/>
  <c r="AV186" i="1"/>
  <c r="AU186" i="1"/>
  <c r="AT186" i="1"/>
  <c r="AS186" i="1"/>
  <c r="AR186" i="1"/>
  <c r="AQ186" i="1"/>
  <c r="AP186" i="1"/>
  <c r="AO186" i="1"/>
  <c r="AN186" i="1"/>
  <c r="AM186" i="1"/>
  <c r="AL186" i="1"/>
  <c r="AK186" i="1"/>
  <c r="AJ186" i="1"/>
  <c r="AI186" i="1"/>
  <c r="AH186" i="1"/>
  <c r="AG186" i="1"/>
  <c r="AF186" i="1"/>
  <c r="AE186" i="1"/>
  <c r="DD185" i="1"/>
  <c r="DC185" i="1"/>
  <c r="DB185" i="1"/>
  <c r="DA185" i="1"/>
  <c r="CZ185" i="1"/>
  <c r="CY185" i="1"/>
  <c r="CX185" i="1"/>
  <c r="CW185" i="1"/>
  <c r="CV185" i="1"/>
  <c r="CU185" i="1"/>
  <c r="CT185" i="1"/>
  <c r="CS185" i="1"/>
  <c r="CR185" i="1"/>
  <c r="CQ185" i="1"/>
  <c r="CP185" i="1"/>
  <c r="CO185" i="1"/>
  <c r="CN185" i="1"/>
  <c r="CM185" i="1"/>
  <c r="CL185" i="1"/>
  <c r="CK185" i="1"/>
  <c r="CJ185" i="1"/>
  <c r="CI185" i="1"/>
  <c r="CH185" i="1"/>
  <c r="CG185" i="1"/>
  <c r="CC185" i="1"/>
  <c r="CB185" i="1"/>
  <c r="CA185" i="1"/>
  <c r="BZ185" i="1"/>
  <c r="BY185" i="1"/>
  <c r="BX185" i="1"/>
  <c r="BW185" i="1"/>
  <c r="BV185" i="1"/>
  <c r="BU185" i="1"/>
  <c r="BT185" i="1"/>
  <c r="BS185" i="1"/>
  <c r="BR185" i="1"/>
  <c r="BQ185" i="1"/>
  <c r="BP185" i="1"/>
  <c r="BO185" i="1"/>
  <c r="BN185" i="1"/>
  <c r="BM185" i="1"/>
  <c r="BL185" i="1"/>
  <c r="BK185" i="1"/>
  <c r="BJ185" i="1"/>
  <c r="BI185" i="1"/>
  <c r="BH185" i="1"/>
  <c r="BG185" i="1"/>
  <c r="BF185" i="1"/>
  <c r="BB185" i="1"/>
  <c r="BA185" i="1"/>
  <c r="AZ185" i="1"/>
  <c r="AY185" i="1"/>
  <c r="AX185" i="1"/>
  <c r="AW185" i="1"/>
  <c r="AV185" i="1"/>
  <c r="AU185" i="1"/>
  <c r="AT185" i="1"/>
  <c r="AS185" i="1"/>
  <c r="AR185" i="1"/>
  <c r="AQ185" i="1"/>
  <c r="AP185" i="1"/>
  <c r="AO185" i="1"/>
  <c r="AN185" i="1"/>
  <c r="AM185" i="1"/>
  <c r="AL185" i="1"/>
  <c r="AK185" i="1"/>
  <c r="AJ185" i="1"/>
  <c r="AI185" i="1"/>
  <c r="AH185" i="1"/>
  <c r="AG185" i="1"/>
  <c r="AF185" i="1"/>
  <c r="AE185" i="1"/>
  <c r="AG180" i="1"/>
  <c r="AF180" i="1"/>
  <c r="AE180" i="1"/>
  <c r="C149" i="1"/>
  <c r="C148" i="1"/>
  <c r="AC48" i="1"/>
  <c r="B48" i="1"/>
  <c r="C28" i="6" l="1"/>
  <c r="DB230" i="3"/>
  <c r="DA230" i="3"/>
  <c r="CZ230" i="3"/>
  <c r="CY230" i="3"/>
  <c r="CX230" i="3"/>
  <c r="CW230" i="3"/>
  <c r="CV230" i="3"/>
  <c r="CU230" i="3"/>
  <c r="CT230" i="3"/>
  <c r="CS230" i="3"/>
  <c r="CR230" i="3"/>
  <c r="CQ230" i="3"/>
  <c r="CP230" i="3"/>
  <c r="CO230" i="3"/>
  <c r="CN230" i="3"/>
  <c r="CM230" i="3"/>
  <c r="CL230" i="3"/>
  <c r="CK230" i="3"/>
  <c r="CJ230" i="3"/>
  <c r="CI230" i="3"/>
  <c r="CH230" i="3"/>
  <c r="CC230" i="3"/>
  <c r="CB230" i="3"/>
  <c r="CA230" i="3"/>
  <c r="BZ230" i="3"/>
  <c r="BY230" i="3"/>
  <c r="BX230" i="3"/>
  <c r="BW230" i="3"/>
  <c r="BV230" i="3"/>
  <c r="BU230" i="3"/>
  <c r="BT230" i="3"/>
  <c r="BS230" i="3"/>
  <c r="BR230" i="3"/>
  <c r="BQ230" i="3"/>
  <c r="BP230" i="3"/>
  <c r="BO230" i="3"/>
  <c r="BN230" i="3"/>
  <c r="BM230" i="3"/>
  <c r="BL230" i="3"/>
  <c r="BK230" i="3"/>
  <c r="BJ230" i="3"/>
  <c r="BI230" i="3"/>
  <c r="BH230" i="3"/>
  <c r="BG230" i="3"/>
  <c r="BB230" i="3"/>
  <c r="BA230" i="3"/>
  <c r="DD230" i="3"/>
  <c r="DC230" i="3"/>
  <c r="O49" i="1"/>
  <c r="P49" i="1"/>
  <c r="Q49" i="1"/>
  <c r="R49" i="1"/>
  <c r="S49" i="1"/>
  <c r="T49" i="1"/>
  <c r="U49" i="1"/>
  <c r="V49" i="1"/>
  <c r="W49" i="1"/>
  <c r="X49" i="1"/>
  <c r="Y49" i="1"/>
  <c r="Z49" i="1"/>
  <c r="AC75" i="6"/>
  <c r="D49" i="1"/>
  <c r="H49" i="1"/>
  <c r="J49" i="1"/>
  <c r="DD230" i="1"/>
  <c r="DC230" i="1"/>
  <c r="DB230" i="1"/>
  <c r="DA230" i="1"/>
  <c r="CZ230" i="1"/>
  <c r="CY230" i="1"/>
  <c r="CX230" i="1"/>
  <c r="CW230" i="1"/>
  <c r="CV230" i="1"/>
  <c r="CU230" i="1"/>
  <c r="CT230" i="1"/>
  <c r="CS230" i="1"/>
  <c r="CR230" i="1"/>
  <c r="CQ230" i="1"/>
  <c r="CP230" i="1"/>
  <c r="CO230" i="1"/>
  <c r="CN230" i="1"/>
  <c r="CM230" i="1"/>
  <c r="CL230" i="1"/>
  <c r="CK230" i="1"/>
  <c r="CJ230" i="1"/>
  <c r="CI230" i="1"/>
  <c r="CH230" i="1"/>
  <c r="CC230" i="1"/>
  <c r="CB230" i="1"/>
  <c r="CA230" i="1"/>
  <c r="BZ230" i="1"/>
  <c r="BY230" i="1"/>
  <c r="BX230" i="1"/>
  <c r="BW230" i="1"/>
  <c r="BV230" i="1"/>
  <c r="BU230" i="1"/>
  <c r="BT230" i="1"/>
  <c r="BS230" i="1"/>
  <c r="BR230" i="1"/>
  <c r="BQ230" i="1"/>
  <c r="BP230" i="1"/>
  <c r="BO230" i="1"/>
  <c r="BN230" i="1"/>
  <c r="BM230" i="1"/>
  <c r="BL230" i="1"/>
  <c r="BK230" i="1"/>
  <c r="BJ230" i="1"/>
  <c r="BI230" i="1"/>
  <c r="BH230" i="1"/>
  <c r="BG230" i="1"/>
  <c r="BB230" i="1"/>
  <c r="BA230" i="1"/>
  <c r="AZ230" i="1"/>
  <c r="AY230" i="1"/>
  <c r="AX230" i="1"/>
  <c r="AW230" i="1"/>
  <c r="AV230" i="1"/>
  <c r="AU230" i="1"/>
  <c r="AT230" i="1"/>
  <c r="AS230" i="1"/>
  <c r="AR230" i="1"/>
  <c r="AQ230" i="1"/>
  <c r="AP230" i="1"/>
  <c r="AO230" i="1"/>
  <c r="AN230" i="1"/>
  <c r="AM230" i="1"/>
  <c r="AL230" i="1"/>
  <c r="G49" i="1"/>
  <c r="I49" i="1"/>
  <c r="M49" i="1"/>
  <c r="N49" i="1"/>
  <c r="F49" i="1"/>
  <c r="L49" i="1"/>
  <c r="C49" i="1"/>
  <c r="E49" i="1"/>
  <c r="K49" i="1"/>
  <c r="AA2" i="3"/>
  <c r="AC144" i="3"/>
  <c r="CG266" i="3"/>
  <c r="BF266" i="3"/>
  <c r="AE266" i="3"/>
  <c r="B116" i="1"/>
  <c r="B110" i="1"/>
  <c r="B117" i="1"/>
  <c r="B108" i="1"/>
  <c r="B113" i="1"/>
  <c r="B109" i="1"/>
  <c r="B114" i="1"/>
  <c r="B111" i="1"/>
  <c r="B115" i="1"/>
  <c r="B112" i="1"/>
  <c r="B120" i="1"/>
  <c r="B118" i="1"/>
  <c r="B119" i="1"/>
  <c r="B122" i="1"/>
  <c r="B123" i="1"/>
  <c r="B121" i="1"/>
  <c r="DD227" i="3"/>
  <c r="DC227" i="3"/>
  <c r="DB227" i="3"/>
  <c r="DA227" i="3"/>
  <c r="CZ227" i="3"/>
  <c r="CY227" i="3"/>
  <c r="CX227" i="3"/>
  <c r="CW227" i="3"/>
  <c r="CV227" i="3"/>
  <c r="CU227" i="3"/>
  <c r="CT227" i="3"/>
  <c r="CS227" i="3"/>
  <c r="CR227" i="3"/>
  <c r="CQ227" i="3"/>
  <c r="CP227" i="3"/>
  <c r="CO227" i="3"/>
  <c r="CN227" i="3"/>
  <c r="CM227" i="3"/>
  <c r="CL227" i="3"/>
  <c r="CK227" i="3"/>
  <c r="CJ227" i="3"/>
  <c r="CI227" i="3"/>
  <c r="CH227" i="3"/>
  <c r="DD203" i="3"/>
  <c r="DC203" i="3"/>
  <c r="DB203" i="3"/>
  <c r="DA203" i="3"/>
  <c r="CZ203" i="3"/>
  <c r="CY203" i="3"/>
  <c r="CX203" i="3"/>
  <c r="CW203" i="3"/>
  <c r="CV203" i="3"/>
  <c r="CU203" i="3"/>
  <c r="CT203" i="3"/>
  <c r="CS203" i="3"/>
  <c r="CR203" i="3"/>
  <c r="CQ203" i="3"/>
  <c r="CP203" i="3"/>
  <c r="CO203" i="3"/>
  <c r="CN203" i="3"/>
  <c r="CM203" i="3"/>
  <c r="CL203" i="3"/>
  <c r="CK203" i="3"/>
  <c r="CJ203" i="3"/>
  <c r="CI203" i="3"/>
  <c r="CH203" i="3"/>
  <c r="CG203" i="3"/>
  <c r="CC203" i="3"/>
  <c r="CB203" i="3"/>
  <c r="CA203" i="3"/>
  <c r="BZ203" i="3"/>
  <c r="BY203" i="3"/>
  <c r="BX203" i="3"/>
  <c r="BW203" i="3"/>
  <c r="BV203" i="3"/>
  <c r="BU203" i="3"/>
  <c r="BT203" i="3"/>
  <c r="BS203" i="3"/>
  <c r="BR203" i="3"/>
  <c r="BQ203" i="3"/>
  <c r="BP203" i="3"/>
  <c r="BO203" i="3"/>
  <c r="BN203" i="3"/>
  <c r="BM203" i="3"/>
  <c r="BL203" i="3"/>
  <c r="BK203" i="3"/>
  <c r="BJ203" i="3"/>
  <c r="BI203" i="3"/>
  <c r="BH203" i="3"/>
  <c r="BG203" i="3"/>
  <c r="BF203" i="3"/>
  <c r="BB203" i="3"/>
  <c r="BA203" i="3"/>
  <c r="AZ203" i="3"/>
  <c r="AY203" i="3"/>
  <c r="AX203" i="3"/>
  <c r="AW203" i="3"/>
  <c r="AV203" i="3"/>
  <c r="AU203" i="3"/>
  <c r="AT203" i="3"/>
  <c r="AS203" i="3"/>
  <c r="AR203" i="3"/>
  <c r="AQ203" i="3"/>
  <c r="AP203" i="3"/>
  <c r="AO203" i="3"/>
  <c r="AN203" i="3"/>
  <c r="AM203" i="3"/>
  <c r="AL203" i="3"/>
  <c r="AK203" i="3"/>
  <c r="AJ203" i="3"/>
  <c r="AI203" i="3"/>
  <c r="AH203" i="3"/>
  <c r="AG203" i="3"/>
  <c r="AF203" i="3"/>
  <c r="AE203" i="3"/>
  <c r="C163" i="3"/>
  <c r="CC227" i="3"/>
  <c r="CB227" i="3"/>
  <c r="CA227" i="3"/>
  <c r="BZ227" i="3"/>
  <c r="BY227" i="3"/>
  <c r="BX227" i="3"/>
  <c r="BW227" i="3"/>
  <c r="BV227" i="3"/>
  <c r="BU227" i="3"/>
  <c r="BT227" i="3"/>
  <c r="BS227" i="3"/>
  <c r="BR227" i="3"/>
  <c r="BQ227" i="3"/>
  <c r="BP227" i="3"/>
  <c r="BO227" i="3"/>
  <c r="BN227" i="3"/>
  <c r="BM227" i="3"/>
  <c r="BL227" i="3"/>
  <c r="BK227" i="3"/>
  <c r="BJ227" i="3"/>
  <c r="BI227" i="3"/>
  <c r="BH227" i="3"/>
  <c r="BG227" i="3"/>
  <c r="BB227" i="3"/>
  <c r="BA227" i="3"/>
  <c r="AZ227" i="3"/>
  <c r="AY227" i="3"/>
  <c r="AX227" i="3"/>
  <c r="AW227" i="3"/>
  <c r="AV227" i="3"/>
  <c r="AU227" i="3"/>
  <c r="AT227" i="3"/>
  <c r="AS227" i="3"/>
  <c r="AR227" i="3"/>
  <c r="AQ227" i="3"/>
  <c r="AP227" i="3"/>
  <c r="AO227" i="3"/>
  <c r="AN227" i="3"/>
  <c r="AM227" i="3"/>
  <c r="AL227" i="3"/>
  <c r="AK227" i="3"/>
  <c r="AJ227" i="3"/>
  <c r="AI227" i="3"/>
  <c r="AH227" i="3"/>
  <c r="AG227" i="3"/>
  <c r="AF227" i="3"/>
  <c r="AC144" i="1"/>
  <c r="B107" i="1"/>
  <c r="DD203" i="1"/>
  <c r="DC203" i="1"/>
  <c r="DB203" i="1"/>
  <c r="DA203" i="1"/>
  <c r="CZ203" i="1"/>
  <c r="CY203" i="1"/>
  <c r="CX203" i="1"/>
  <c r="CW203" i="1"/>
  <c r="CV203" i="1"/>
  <c r="CU203" i="1"/>
  <c r="CT203" i="1"/>
  <c r="CS203" i="1"/>
  <c r="CR203" i="1"/>
  <c r="CQ203" i="1"/>
  <c r="CP203" i="1"/>
  <c r="CO203" i="1"/>
  <c r="CN203" i="1"/>
  <c r="CM203" i="1"/>
  <c r="CL203" i="1"/>
  <c r="CK203" i="1"/>
  <c r="CJ203" i="1"/>
  <c r="CI203" i="1"/>
  <c r="CH203" i="1"/>
  <c r="CG203" i="1"/>
  <c r="CC203" i="1"/>
  <c r="CB203" i="1"/>
  <c r="CA203" i="1"/>
  <c r="BZ203" i="1"/>
  <c r="BY203" i="1"/>
  <c r="BX203" i="1"/>
  <c r="BW203" i="1"/>
  <c r="BV203" i="1"/>
  <c r="BU203" i="1"/>
  <c r="BT203" i="1"/>
  <c r="BS203" i="1"/>
  <c r="BR203" i="1"/>
  <c r="BQ203" i="1"/>
  <c r="BP203" i="1"/>
  <c r="BO203" i="1"/>
  <c r="BN203" i="1"/>
  <c r="BM203" i="1"/>
  <c r="BL203" i="1"/>
  <c r="BK203" i="1"/>
  <c r="BJ203" i="1"/>
  <c r="BI203" i="1"/>
  <c r="BH203" i="1"/>
  <c r="BG203" i="1"/>
  <c r="BF203" i="1"/>
  <c r="BB203" i="1"/>
  <c r="BA203" i="1"/>
  <c r="AZ203" i="1"/>
  <c r="AY203" i="1"/>
  <c r="AX203" i="1"/>
  <c r="AW203" i="1"/>
  <c r="AV203" i="1"/>
  <c r="AU203" i="1"/>
  <c r="AT203" i="1"/>
  <c r="AS203" i="1"/>
  <c r="AR203" i="1"/>
  <c r="AQ203" i="1"/>
  <c r="AP203" i="1"/>
  <c r="AO203" i="1"/>
  <c r="AN203" i="1"/>
  <c r="AM203" i="1"/>
  <c r="AL203" i="1"/>
  <c r="AK203" i="1"/>
  <c r="AJ203" i="1"/>
  <c r="AI203" i="1"/>
  <c r="AH203" i="1"/>
  <c r="AG203" i="1"/>
  <c r="AF203" i="1"/>
  <c r="AE203" i="1"/>
  <c r="C163" i="1"/>
  <c r="B106" i="1"/>
  <c r="CG261" i="3"/>
  <c r="CG216" i="3"/>
  <c r="DE207" i="1"/>
  <c r="B105" i="1"/>
  <c r="B104" i="1"/>
  <c r="B103" i="1"/>
  <c r="B102" i="1"/>
  <c r="CG264" i="3"/>
  <c r="BF264" i="3"/>
  <c r="AE264" i="3"/>
  <c r="BF261" i="3"/>
  <c r="AE261" i="3"/>
  <c r="DD258" i="3"/>
  <c r="DF258" i="3" s="1"/>
  <c r="DC258" i="3"/>
  <c r="DB258" i="3"/>
  <c r="DA258" i="3"/>
  <c r="CZ258" i="3"/>
  <c r="CY258" i="3"/>
  <c r="CX258" i="3"/>
  <c r="CW258" i="3"/>
  <c r="CV258" i="3"/>
  <c r="CU258" i="3"/>
  <c r="CT258" i="3"/>
  <c r="CS258" i="3"/>
  <c r="CR258" i="3"/>
  <c r="DE258" i="3" s="1"/>
  <c r="CQ258" i="3"/>
  <c r="CP258" i="3"/>
  <c r="CO258" i="3"/>
  <c r="CN258" i="3"/>
  <c r="CM258" i="3"/>
  <c r="CL258" i="3"/>
  <c r="CK258" i="3"/>
  <c r="CJ258" i="3"/>
  <c r="CI258" i="3"/>
  <c r="CH258" i="3"/>
  <c r="CG258" i="3"/>
  <c r="CC258" i="3"/>
  <c r="CE258" i="3" s="1"/>
  <c r="CB258" i="3"/>
  <c r="CA258" i="3"/>
  <c r="BZ258" i="3"/>
  <c r="BY258" i="3"/>
  <c r="BX258" i="3"/>
  <c r="BW258" i="3"/>
  <c r="BV258" i="3"/>
  <c r="BU258" i="3"/>
  <c r="BT258" i="3"/>
  <c r="BS258" i="3"/>
  <c r="BR258" i="3"/>
  <c r="BQ258" i="3"/>
  <c r="CD258" i="3" s="1"/>
  <c r="BP258" i="3"/>
  <c r="BO258" i="3"/>
  <c r="BN258" i="3"/>
  <c r="BM258" i="3"/>
  <c r="BL258" i="3"/>
  <c r="BK258" i="3"/>
  <c r="BJ258" i="3"/>
  <c r="BI258" i="3"/>
  <c r="BH258" i="3"/>
  <c r="BG258" i="3"/>
  <c r="BF258" i="3"/>
  <c r="BB258" i="3"/>
  <c r="BD258" i="3" s="1"/>
  <c r="BA258" i="3"/>
  <c r="AZ258" i="3"/>
  <c r="AY258" i="3"/>
  <c r="AX258" i="3"/>
  <c r="AW258" i="3"/>
  <c r="AV258" i="3"/>
  <c r="AU258" i="3"/>
  <c r="AT258" i="3"/>
  <c r="AS258" i="3"/>
  <c r="AR258" i="3"/>
  <c r="AQ258" i="3"/>
  <c r="AP258" i="3"/>
  <c r="BC258" i="3" s="1"/>
  <c r="AO258" i="3"/>
  <c r="AN258" i="3"/>
  <c r="AM258" i="3"/>
  <c r="AL258" i="3"/>
  <c r="AK258" i="3"/>
  <c r="AJ258" i="3"/>
  <c r="AI258" i="3"/>
  <c r="AH258" i="3"/>
  <c r="AG258" i="3"/>
  <c r="AF258" i="3"/>
  <c r="AE258" i="3"/>
  <c r="BF254" i="3"/>
  <c r="DD251" i="3"/>
  <c r="DF251" i="3" s="1"/>
  <c r="DC251" i="3"/>
  <c r="DB251" i="3"/>
  <c r="DA251" i="3"/>
  <c r="CZ251" i="3"/>
  <c r="CY251" i="3"/>
  <c r="CX251" i="3"/>
  <c r="CW251" i="3"/>
  <c r="CV251" i="3"/>
  <c r="CU251" i="3"/>
  <c r="CT251" i="3"/>
  <c r="CS251" i="3"/>
  <c r="CR251" i="3"/>
  <c r="DE251" i="3" s="1"/>
  <c r="CQ251" i="3"/>
  <c r="CP251" i="3"/>
  <c r="CO251" i="3"/>
  <c r="CN251" i="3"/>
  <c r="CM251" i="3"/>
  <c r="CL251" i="3"/>
  <c r="CK251" i="3"/>
  <c r="CJ251" i="3"/>
  <c r="CI251" i="3"/>
  <c r="CH251" i="3"/>
  <c r="CG251" i="3"/>
  <c r="CC251" i="3"/>
  <c r="CE251" i="3" s="1"/>
  <c r="CB251" i="3"/>
  <c r="CA251" i="3"/>
  <c r="BZ251" i="3"/>
  <c r="BY251" i="3"/>
  <c r="BX251" i="3"/>
  <c r="BW251" i="3"/>
  <c r="BV251" i="3"/>
  <c r="BU251" i="3"/>
  <c r="BT251" i="3"/>
  <c r="BS251" i="3"/>
  <c r="BR251" i="3"/>
  <c r="BQ251" i="3"/>
  <c r="CD251" i="3" s="1"/>
  <c r="BP251" i="3"/>
  <c r="BO251" i="3"/>
  <c r="BN251" i="3"/>
  <c r="BM251" i="3"/>
  <c r="BL251" i="3"/>
  <c r="BK251" i="3"/>
  <c r="BJ251" i="3"/>
  <c r="BI251" i="3"/>
  <c r="BH251" i="3"/>
  <c r="BG251" i="3"/>
  <c r="BF251" i="3"/>
  <c r="BB251" i="3"/>
  <c r="BD251" i="3" s="1"/>
  <c r="BA251" i="3"/>
  <c r="AZ251" i="3"/>
  <c r="AY251" i="3"/>
  <c r="AW251" i="3"/>
  <c r="AV251" i="3"/>
  <c r="AT251" i="3"/>
  <c r="AR251" i="3"/>
  <c r="AP251" i="3"/>
  <c r="BC251" i="3" s="1"/>
  <c r="AN251" i="3"/>
  <c r="AM251" i="3"/>
  <c r="AK251" i="3"/>
  <c r="AI251" i="3"/>
  <c r="AG251" i="3"/>
  <c r="DD240" i="3"/>
  <c r="DB240" i="3"/>
  <c r="CZ240" i="3"/>
  <c r="CY240" i="3"/>
  <c r="CX240" i="3"/>
  <c r="CV240" i="3"/>
  <c r="CT240" i="3"/>
  <c r="CR240" i="3"/>
  <c r="CP240" i="3"/>
  <c r="CO240" i="3"/>
  <c r="CM240" i="3"/>
  <c r="CL240" i="3"/>
  <c r="CI240" i="3"/>
  <c r="CC240" i="3"/>
  <c r="BZ240" i="3"/>
  <c r="BY240" i="3"/>
  <c r="BW240" i="3"/>
  <c r="BU240" i="3"/>
  <c r="BS240" i="3"/>
  <c r="BP240" i="3"/>
  <c r="BN240" i="3"/>
  <c r="BM240" i="3"/>
  <c r="BK240" i="3"/>
  <c r="BI240" i="3"/>
  <c r="BG240" i="3"/>
  <c r="BB240" i="3"/>
  <c r="BA240" i="3"/>
  <c r="AW240" i="3"/>
  <c r="AT240" i="3"/>
  <c r="AR240" i="3"/>
  <c r="AP240" i="3"/>
  <c r="AO240" i="3"/>
  <c r="AM240" i="3"/>
  <c r="AK240" i="3"/>
  <c r="AG240" i="3"/>
  <c r="AE240" i="3"/>
  <c r="DF239" i="3"/>
  <c r="CE239" i="3"/>
  <c r="BD239" i="3"/>
  <c r="BC239" i="3"/>
  <c r="AZ232" i="3"/>
  <c r="AY232" i="3"/>
  <c r="AW232" i="3"/>
  <c r="AV232" i="3"/>
  <c r="AU232" i="3"/>
  <c r="CE208" i="3"/>
  <c r="CD208" i="3"/>
  <c r="BD208" i="3"/>
  <c r="BC208" i="3"/>
  <c r="DF207" i="3"/>
  <c r="DE207" i="3"/>
  <c r="CE207" i="3"/>
  <c r="CD207" i="3"/>
  <c r="BC207" i="3"/>
  <c r="CE198" i="3"/>
  <c r="BD198" i="3"/>
  <c r="BC198" i="3"/>
  <c r="DF197" i="3"/>
  <c r="DE197" i="3"/>
  <c r="CE197" i="3"/>
  <c r="CD197" i="3"/>
  <c r="BD197" i="3"/>
  <c r="BC197" i="3"/>
  <c r="DF196" i="3"/>
  <c r="DE196" i="3"/>
  <c r="CE196" i="3"/>
  <c r="CD196" i="3"/>
  <c r="BD196" i="3"/>
  <c r="BC196" i="3"/>
  <c r="DC195" i="3"/>
  <c r="DA195" i="3"/>
  <c r="CY195" i="3"/>
  <c r="CX195" i="3"/>
  <c r="CV195" i="3"/>
  <c r="CU195" i="3"/>
  <c r="CS195" i="3"/>
  <c r="CQ195" i="3"/>
  <c r="CO195" i="3"/>
  <c r="CN195" i="3"/>
  <c r="CM195" i="3"/>
  <c r="CL195" i="3"/>
  <c r="CK195" i="3"/>
  <c r="CJ195" i="3"/>
  <c r="CB195" i="3"/>
  <c r="BZ195" i="3"/>
  <c r="BX195" i="3"/>
  <c r="BV195" i="3"/>
  <c r="BT195" i="3"/>
  <c r="BR195" i="3"/>
  <c r="BP195" i="3"/>
  <c r="BN195" i="3"/>
  <c r="BL195" i="3"/>
  <c r="BJ195" i="3"/>
  <c r="BH195" i="3"/>
  <c r="BF195" i="3"/>
  <c r="BA195" i="3"/>
  <c r="AY195" i="3"/>
  <c r="AW195" i="3"/>
  <c r="AU195" i="3"/>
  <c r="AS195" i="3"/>
  <c r="AQ195" i="3"/>
  <c r="AO195" i="3"/>
  <c r="AM195" i="3"/>
  <c r="AK195" i="3"/>
  <c r="AI195" i="3"/>
  <c r="AG195" i="3"/>
  <c r="AE195" i="3"/>
  <c r="DC194" i="3"/>
  <c r="DA194" i="3"/>
  <c r="CZ194" i="3"/>
  <c r="CX194" i="3"/>
  <c r="CQ194" i="3"/>
  <c r="CO194" i="3"/>
  <c r="CM194" i="3"/>
  <c r="CK194" i="3"/>
  <c r="CI194" i="3"/>
  <c r="CG194" i="3"/>
  <c r="CC194" i="3"/>
  <c r="CA194" i="3"/>
  <c r="BY194" i="3"/>
  <c r="BV194" i="3"/>
  <c r="BT194" i="3"/>
  <c r="BR194" i="3"/>
  <c r="BQ194" i="3"/>
  <c r="BP194" i="3"/>
  <c r="BN194" i="3"/>
  <c r="BL194" i="3"/>
  <c r="BJ194" i="3"/>
  <c r="BH194" i="3"/>
  <c r="BF194" i="3"/>
  <c r="BB194" i="3"/>
  <c r="BA194" i="3"/>
  <c r="AZ194" i="3"/>
  <c r="AY194" i="3"/>
  <c r="AX194" i="3"/>
  <c r="AV194" i="3"/>
  <c r="AO194" i="3"/>
  <c r="AM194" i="3"/>
  <c r="AK194" i="3"/>
  <c r="AI194" i="3"/>
  <c r="AG194" i="3"/>
  <c r="AE194" i="3"/>
  <c r="DC193" i="3"/>
  <c r="DA193" i="3"/>
  <c r="CY193" i="3"/>
  <c r="CW193" i="3"/>
  <c r="CU193" i="3"/>
  <c r="CS193" i="3"/>
  <c r="CQ193" i="3"/>
  <c r="CO193" i="3"/>
  <c r="CM193" i="3"/>
  <c r="CL193" i="3"/>
  <c r="CK193" i="3"/>
  <c r="CJ193" i="3"/>
  <c r="CI193" i="3"/>
  <c r="CH193" i="3"/>
  <c r="CG193" i="3"/>
  <c r="CC193" i="3"/>
  <c r="CA193" i="3"/>
  <c r="BU193" i="3"/>
  <c r="BT193" i="3"/>
  <c r="BS193" i="3"/>
  <c r="BR193" i="3"/>
  <c r="BQ193" i="3"/>
  <c r="BP193" i="3"/>
  <c r="BO193" i="3"/>
  <c r="BN193" i="3"/>
  <c r="BM193" i="3"/>
  <c r="BL193" i="3"/>
  <c r="BK193" i="3"/>
  <c r="BJ193" i="3"/>
  <c r="BI193" i="3"/>
  <c r="BH193" i="3"/>
  <c r="BG193" i="3"/>
  <c r="BF193" i="3"/>
  <c r="BB193" i="3"/>
  <c r="BA193" i="3"/>
  <c r="AZ193" i="3"/>
  <c r="AY193" i="3"/>
  <c r="AX193" i="3"/>
  <c r="AW193" i="3"/>
  <c r="AV193" i="3"/>
  <c r="AU193" i="3"/>
  <c r="AT193" i="3"/>
  <c r="AS193" i="3"/>
  <c r="AR193" i="3"/>
  <c r="AQ193" i="3"/>
  <c r="AP193" i="3"/>
  <c r="AO193" i="3"/>
  <c r="AM193" i="3"/>
  <c r="AK193" i="3"/>
  <c r="AE193" i="3"/>
  <c r="DC192" i="3"/>
  <c r="DA192" i="3"/>
  <c r="CY192" i="3"/>
  <c r="CW192" i="3"/>
  <c r="CU192" i="3"/>
  <c r="CT192" i="3"/>
  <c r="CS192" i="3"/>
  <c r="CR192" i="3"/>
  <c r="CP192" i="3"/>
  <c r="CL192" i="3"/>
  <c r="CI192" i="3"/>
  <c r="CG192" i="3"/>
  <c r="CB192" i="3"/>
  <c r="BZ192" i="3"/>
  <c r="BX192" i="3"/>
  <c r="BV192" i="3"/>
  <c r="BT192" i="3"/>
  <c r="BR192" i="3"/>
  <c r="BP192" i="3"/>
  <c r="BO192" i="3"/>
  <c r="BN192" i="3"/>
  <c r="BM192" i="3"/>
  <c r="BL192" i="3"/>
  <c r="BJ192" i="3"/>
  <c r="BH192" i="3"/>
  <c r="BF192" i="3"/>
  <c r="BA192" i="3"/>
  <c r="AW192" i="3"/>
  <c r="AU192" i="3"/>
  <c r="AS192" i="3"/>
  <c r="AQ192" i="3"/>
  <c r="AO192" i="3"/>
  <c r="AM192" i="3"/>
  <c r="AK192" i="3"/>
  <c r="AI192" i="3"/>
  <c r="AG192" i="3"/>
  <c r="AE192" i="3"/>
  <c r="DC191" i="3"/>
  <c r="DA191" i="3"/>
  <c r="CY191" i="3"/>
  <c r="CW191" i="3"/>
  <c r="CU191" i="3"/>
  <c r="CS191" i="3"/>
  <c r="CQ191" i="3"/>
  <c r="CO191" i="3"/>
  <c r="CM191" i="3"/>
  <c r="CK191" i="3"/>
  <c r="CI191" i="3"/>
  <c r="CG191" i="3"/>
  <c r="CA191" i="3"/>
  <c r="BY191" i="3"/>
  <c r="BX191" i="3"/>
  <c r="BV191" i="3"/>
  <c r="BT191" i="3"/>
  <c r="BR191" i="3"/>
  <c r="BP191" i="3"/>
  <c r="BN191" i="3"/>
  <c r="BL191" i="3"/>
  <c r="BJ191" i="3"/>
  <c r="BH191" i="3"/>
  <c r="BF191" i="3"/>
  <c r="BA191" i="3"/>
  <c r="AY191" i="3"/>
  <c r="AW191" i="3"/>
  <c r="AU191" i="3"/>
  <c r="AS191" i="3"/>
  <c r="AQ191" i="3"/>
  <c r="AO191" i="3"/>
  <c r="AM191" i="3"/>
  <c r="AK191" i="3"/>
  <c r="AI191" i="3"/>
  <c r="AG191" i="3"/>
  <c r="AE191" i="3"/>
  <c r="DC190" i="3"/>
  <c r="CY190" i="3"/>
  <c r="CW190" i="3"/>
  <c r="CU190" i="3"/>
  <c r="CS190" i="3"/>
  <c r="CQ190" i="3"/>
  <c r="CO190" i="3"/>
  <c r="CM190" i="3"/>
  <c r="CK190" i="3"/>
  <c r="CI190" i="3"/>
  <c r="CG190" i="3"/>
  <c r="CC190" i="3"/>
  <c r="CA190" i="3"/>
  <c r="BY190" i="3"/>
  <c r="BW190" i="3"/>
  <c r="BU190" i="3"/>
  <c r="BS190" i="3"/>
  <c r="BQ190" i="3"/>
  <c r="BJ190" i="3"/>
  <c r="BI190" i="3"/>
  <c r="BH190" i="3"/>
  <c r="BG190" i="3"/>
  <c r="BF190" i="3"/>
  <c r="BB190" i="3"/>
  <c r="AZ190" i="3"/>
  <c r="AS190" i="3"/>
  <c r="AQ190" i="3"/>
  <c r="AO190" i="3"/>
  <c r="AM190" i="3"/>
  <c r="AK190" i="3"/>
  <c r="AI190" i="3"/>
  <c r="AG190" i="3"/>
  <c r="AE190" i="3"/>
  <c r="DE189" i="3"/>
  <c r="CE189" i="3"/>
  <c r="CD189" i="3"/>
  <c r="BC189" i="3"/>
  <c r="CE188" i="3"/>
  <c r="CD188" i="3"/>
  <c r="BD188" i="3"/>
  <c r="BC188" i="3"/>
  <c r="DF187" i="3"/>
  <c r="DE187" i="3"/>
  <c r="BD187" i="3"/>
  <c r="BC187" i="3"/>
  <c r="CE186" i="3"/>
  <c r="CD186" i="3"/>
  <c r="CE185" i="3"/>
  <c r="BD185" i="3"/>
  <c r="BC185" i="3"/>
  <c r="DF207" i="1"/>
  <c r="CE197" i="1"/>
  <c r="CD197" i="1"/>
  <c r="BD197" i="1"/>
  <c r="BC197" i="1"/>
  <c r="DF196" i="1"/>
  <c r="DE196" i="1"/>
  <c r="CE196" i="1"/>
  <c r="CD196" i="1"/>
  <c r="BD196" i="1"/>
  <c r="BC196" i="1"/>
  <c r="DD195" i="1"/>
  <c r="DC195" i="1"/>
  <c r="DB195" i="1"/>
  <c r="DA195" i="1"/>
  <c r="CZ195" i="1"/>
  <c r="CY195" i="1"/>
  <c r="CX195" i="1"/>
  <c r="CW195" i="1"/>
  <c r="CV195" i="1"/>
  <c r="CU195" i="1"/>
  <c r="CT195" i="1"/>
  <c r="CS195" i="1"/>
  <c r="CR195" i="1"/>
  <c r="CQ195" i="1"/>
  <c r="CP195" i="1"/>
  <c r="CO195" i="1"/>
  <c r="CN195" i="1"/>
  <c r="CM195" i="1"/>
  <c r="CL195" i="1"/>
  <c r="CK195" i="1"/>
  <c r="CJ195" i="1"/>
  <c r="CI195" i="1"/>
  <c r="CH195" i="1"/>
  <c r="CG195" i="1"/>
  <c r="CC195" i="1"/>
  <c r="CB195" i="1"/>
  <c r="CA195" i="1"/>
  <c r="BZ195" i="1"/>
  <c r="BY195" i="1"/>
  <c r="BX195" i="1"/>
  <c r="BW195" i="1"/>
  <c r="BV195" i="1"/>
  <c r="BU195" i="1"/>
  <c r="BT195" i="1"/>
  <c r="BS195" i="1"/>
  <c r="BR195" i="1"/>
  <c r="BQ195" i="1"/>
  <c r="BP195" i="1"/>
  <c r="BO195" i="1"/>
  <c r="BN195" i="1"/>
  <c r="BM195" i="1"/>
  <c r="BL195" i="1"/>
  <c r="BK195" i="1"/>
  <c r="BJ195" i="1"/>
  <c r="BI195" i="1"/>
  <c r="BH195" i="1"/>
  <c r="BG195" i="1"/>
  <c r="BF195" i="1"/>
  <c r="BB195" i="1"/>
  <c r="BA195" i="1"/>
  <c r="AZ195" i="1"/>
  <c r="AY195" i="1"/>
  <c r="AX195" i="1"/>
  <c r="AW195" i="1"/>
  <c r="AV195" i="1"/>
  <c r="AU195" i="1"/>
  <c r="AT195" i="1"/>
  <c r="AS195" i="1"/>
  <c r="AR195" i="1"/>
  <c r="AQ195" i="1"/>
  <c r="AP195" i="1"/>
  <c r="AO195" i="1"/>
  <c r="AN195" i="1"/>
  <c r="AM195" i="1"/>
  <c r="AL195" i="1"/>
  <c r="AK195" i="1"/>
  <c r="AJ195" i="1"/>
  <c r="AI195" i="1"/>
  <c r="AH195" i="1"/>
  <c r="AG195" i="1"/>
  <c r="AF195" i="1"/>
  <c r="AE195" i="1"/>
  <c r="DD194" i="1"/>
  <c r="DC194" i="1"/>
  <c r="DB194" i="1"/>
  <c r="DA194" i="1"/>
  <c r="CZ194" i="1"/>
  <c r="CY194" i="1"/>
  <c r="CX194" i="1"/>
  <c r="CW194" i="1"/>
  <c r="CV194" i="1"/>
  <c r="CU194" i="1"/>
  <c r="CT194" i="1"/>
  <c r="CS194" i="1"/>
  <c r="CR194" i="1"/>
  <c r="CQ194" i="1"/>
  <c r="CP194" i="1"/>
  <c r="CO194" i="1"/>
  <c r="CN194" i="1"/>
  <c r="CM194" i="1"/>
  <c r="CL194" i="1"/>
  <c r="CK194" i="1"/>
  <c r="CJ194" i="1"/>
  <c r="CI194" i="1"/>
  <c r="CH194" i="1"/>
  <c r="CG194" i="1"/>
  <c r="CC194" i="1"/>
  <c r="CB194" i="1"/>
  <c r="CA194" i="1"/>
  <c r="BZ194" i="1"/>
  <c r="BY194" i="1"/>
  <c r="BX194" i="1"/>
  <c r="BW194" i="1"/>
  <c r="BV194" i="1"/>
  <c r="BU194" i="1"/>
  <c r="BT194" i="1"/>
  <c r="BS194" i="1"/>
  <c r="BR194" i="1"/>
  <c r="BQ194" i="1"/>
  <c r="BP194" i="1"/>
  <c r="BO194" i="1"/>
  <c r="BN194" i="1"/>
  <c r="BM194" i="1"/>
  <c r="BL194" i="1"/>
  <c r="BK194" i="1"/>
  <c r="BJ194" i="1"/>
  <c r="BI194" i="1"/>
  <c r="BH194" i="1"/>
  <c r="BG194" i="1"/>
  <c r="BF194" i="1"/>
  <c r="BB194" i="1"/>
  <c r="BA194" i="1"/>
  <c r="AZ194" i="1"/>
  <c r="AY194" i="1"/>
  <c r="AX194" i="1"/>
  <c r="AW194" i="1"/>
  <c r="AV194" i="1"/>
  <c r="AU194" i="1"/>
  <c r="AT194" i="1"/>
  <c r="AS194" i="1"/>
  <c r="AR194" i="1"/>
  <c r="AQ194" i="1"/>
  <c r="AP194" i="1"/>
  <c r="AO194" i="1"/>
  <c r="AN194" i="1"/>
  <c r="AM194" i="1"/>
  <c r="AL194" i="1"/>
  <c r="AK194" i="1"/>
  <c r="AJ194" i="1"/>
  <c r="AI194" i="1"/>
  <c r="AH194" i="1"/>
  <c r="AG194" i="1"/>
  <c r="AF194" i="1"/>
  <c r="AE194" i="1"/>
  <c r="DD193" i="1"/>
  <c r="DC193" i="1"/>
  <c r="DB193" i="1"/>
  <c r="DA193" i="1"/>
  <c r="CZ193" i="1"/>
  <c r="CY193" i="1"/>
  <c r="CX193" i="1"/>
  <c r="CW193" i="1"/>
  <c r="CV193" i="1"/>
  <c r="CU193" i="1"/>
  <c r="CT193" i="1"/>
  <c r="CS193" i="1"/>
  <c r="CR193" i="1"/>
  <c r="CQ193" i="1"/>
  <c r="CP193" i="1"/>
  <c r="CO193" i="1"/>
  <c r="CN193" i="1"/>
  <c r="CM193" i="1"/>
  <c r="CL193" i="1"/>
  <c r="CK193" i="1"/>
  <c r="CJ193" i="1"/>
  <c r="CI193" i="1"/>
  <c r="CH193" i="1"/>
  <c r="CG193" i="1"/>
  <c r="CC193" i="1"/>
  <c r="CB193" i="1"/>
  <c r="CA193" i="1"/>
  <c r="BZ193" i="1"/>
  <c r="BY193" i="1"/>
  <c r="BX193" i="1"/>
  <c r="BW193" i="1"/>
  <c r="BV193" i="1"/>
  <c r="BU193" i="1"/>
  <c r="BT193" i="1"/>
  <c r="BS193" i="1"/>
  <c r="BR193" i="1"/>
  <c r="BQ193" i="1"/>
  <c r="BP193" i="1"/>
  <c r="BO193" i="1"/>
  <c r="BN193" i="1"/>
  <c r="BM193" i="1"/>
  <c r="BL193" i="1"/>
  <c r="BK193" i="1"/>
  <c r="BJ193" i="1"/>
  <c r="BI193" i="1"/>
  <c r="BH193" i="1"/>
  <c r="BG193" i="1"/>
  <c r="BF193" i="1"/>
  <c r="BB193" i="1"/>
  <c r="BA193" i="1"/>
  <c r="AZ193" i="1"/>
  <c r="AY193" i="1"/>
  <c r="AX193" i="1"/>
  <c r="AW193" i="1"/>
  <c r="AV193" i="1"/>
  <c r="AU193" i="1"/>
  <c r="AT193" i="1"/>
  <c r="AS193" i="1"/>
  <c r="AR193" i="1"/>
  <c r="AQ193" i="1"/>
  <c r="AP193" i="1"/>
  <c r="AO193" i="1"/>
  <c r="AN193" i="1"/>
  <c r="AM193" i="1"/>
  <c r="AL193" i="1"/>
  <c r="AK193" i="1"/>
  <c r="AJ193" i="1"/>
  <c r="AI193" i="1"/>
  <c r="AH193" i="1"/>
  <c r="AG193" i="1"/>
  <c r="AF193" i="1"/>
  <c r="AE193" i="1"/>
  <c r="DD192" i="1"/>
  <c r="DC192" i="1"/>
  <c r="DB192" i="1"/>
  <c r="DA192" i="1"/>
  <c r="CZ192" i="1"/>
  <c r="CY192" i="1"/>
  <c r="CX192" i="1"/>
  <c r="CW192" i="1"/>
  <c r="CV192" i="1"/>
  <c r="CU192" i="1"/>
  <c r="CT192" i="1"/>
  <c r="CS192" i="1"/>
  <c r="CR192" i="1"/>
  <c r="CQ192" i="1"/>
  <c r="CP192" i="1"/>
  <c r="CO192" i="1"/>
  <c r="CN192" i="1"/>
  <c r="CM192" i="1"/>
  <c r="CL192" i="1"/>
  <c r="CK192" i="1"/>
  <c r="CJ192" i="1"/>
  <c r="CI192" i="1"/>
  <c r="CH192" i="1"/>
  <c r="CG192" i="1"/>
  <c r="CC192" i="1"/>
  <c r="CB192" i="1"/>
  <c r="CA192" i="1"/>
  <c r="BZ192" i="1"/>
  <c r="BY192" i="1"/>
  <c r="BX192" i="1"/>
  <c r="BW192" i="1"/>
  <c r="BV192" i="1"/>
  <c r="BU192" i="1"/>
  <c r="BT192" i="1"/>
  <c r="BS192" i="1"/>
  <c r="BR192" i="1"/>
  <c r="BQ192" i="1"/>
  <c r="BP192" i="1"/>
  <c r="BO192" i="1"/>
  <c r="BN192" i="1"/>
  <c r="BM192" i="1"/>
  <c r="BL192" i="1"/>
  <c r="BK192" i="1"/>
  <c r="BJ192" i="1"/>
  <c r="BI192" i="1"/>
  <c r="BH192" i="1"/>
  <c r="BG192" i="1"/>
  <c r="BF192" i="1"/>
  <c r="BB192" i="1"/>
  <c r="BA192" i="1"/>
  <c r="AZ192" i="1"/>
  <c r="AY192" i="1"/>
  <c r="AX192" i="1"/>
  <c r="AW192" i="1"/>
  <c r="AV192" i="1"/>
  <c r="AU192" i="1"/>
  <c r="AT192" i="1"/>
  <c r="AS192" i="1"/>
  <c r="AR192" i="1"/>
  <c r="AQ192" i="1"/>
  <c r="AP192" i="1"/>
  <c r="AO192" i="1"/>
  <c r="AN192" i="1"/>
  <c r="AM192" i="1"/>
  <c r="AL192" i="1"/>
  <c r="AK192" i="1"/>
  <c r="AJ192" i="1"/>
  <c r="AI192" i="1"/>
  <c r="AH192" i="1"/>
  <c r="AG192" i="1"/>
  <c r="AF192" i="1"/>
  <c r="AE192" i="1"/>
  <c r="DD191" i="1"/>
  <c r="DC191" i="1"/>
  <c r="DB191" i="1"/>
  <c r="DA191" i="1"/>
  <c r="CZ191" i="1"/>
  <c r="CY191" i="1"/>
  <c r="CX191" i="1"/>
  <c r="CW191" i="1"/>
  <c r="CV191" i="1"/>
  <c r="CU191" i="1"/>
  <c r="CT191" i="1"/>
  <c r="CS191" i="1"/>
  <c r="CR191" i="1"/>
  <c r="CQ191" i="1"/>
  <c r="CP191" i="1"/>
  <c r="CO191" i="1"/>
  <c r="CN191" i="1"/>
  <c r="CM191" i="1"/>
  <c r="CL191" i="1"/>
  <c r="CK191" i="1"/>
  <c r="CJ191" i="1"/>
  <c r="CI191" i="1"/>
  <c r="CH191" i="1"/>
  <c r="CG191" i="1"/>
  <c r="CC191" i="1"/>
  <c r="CB191" i="1"/>
  <c r="CA191" i="1"/>
  <c r="BZ191" i="1"/>
  <c r="BY191" i="1"/>
  <c r="BX191" i="1"/>
  <c r="BW191" i="1"/>
  <c r="BV191" i="1"/>
  <c r="BU191" i="1"/>
  <c r="BT191" i="1"/>
  <c r="BS191" i="1"/>
  <c r="BR191" i="1"/>
  <c r="BQ191" i="1"/>
  <c r="BP191" i="1"/>
  <c r="BO191" i="1"/>
  <c r="BN191" i="1"/>
  <c r="BM191" i="1"/>
  <c r="BL191" i="1"/>
  <c r="BK191" i="1"/>
  <c r="BJ191" i="1"/>
  <c r="BI191" i="1"/>
  <c r="BH191" i="1"/>
  <c r="BG191" i="1"/>
  <c r="BF191" i="1"/>
  <c r="BB191" i="1"/>
  <c r="BA191" i="1"/>
  <c r="AZ191" i="1"/>
  <c r="AY191" i="1"/>
  <c r="AX191" i="1"/>
  <c r="AW191" i="1"/>
  <c r="AV191" i="1"/>
  <c r="AU191" i="1"/>
  <c r="AT191" i="1"/>
  <c r="AS191" i="1"/>
  <c r="AR191" i="1"/>
  <c r="AQ191" i="1"/>
  <c r="AP191" i="1"/>
  <c r="AO191" i="1"/>
  <c r="AN191" i="1"/>
  <c r="AM191" i="1"/>
  <c r="AL191" i="1"/>
  <c r="AK191" i="1"/>
  <c r="AJ191" i="1"/>
  <c r="AI191" i="1"/>
  <c r="AH191" i="1"/>
  <c r="AG191" i="1"/>
  <c r="AF191" i="1"/>
  <c r="AE191" i="1"/>
  <c r="DD190" i="1"/>
  <c r="DC190" i="1"/>
  <c r="DB190" i="1"/>
  <c r="DA190" i="1"/>
  <c r="CZ190" i="1"/>
  <c r="CY190" i="1"/>
  <c r="CX190" i="1"/>
  <c r="CW190" i="1"/>
  <c r="CV190" i="1"/>
  <c r="CU190" i="1"/>
  <c r="CT190" i="1"/>
  <c r="CS190" i="1"/>
  <c r="CR190" i="1"/>
  <c r="CQ190" i="1"/>
  <c r="CP190" i="1"/>
  <c r="CO190" i="1"/>
  <c r="CN190" i="1"/>
  <c r="CM190" i="1"/>
  <c r="CL190" i="1"/>
  <c r="CK190" i="1"/>
  <c r="CJ190" i="1"/>
  <c r="CI190" i="1"/>
  <c r="CH190" i="1"/>
  <c r="CG190" i="1"/>
  <c r="CC190" i="1"/>
  <c r="CB190" i="1"/>
  <c r="CA190" i="1"/>
  <c r="BZ190" i="1"/>
  <c r="BY190" i="1"/>
  <c r="BX190" i="1"/>
  <c r="BW190" i="1"/>
  <c r="BV190" i="1"/>
  <c r="BU190" i="1"/>
  <c r="BT190" i="1"/>
  <c r="BS190" i="1"/>
  <c r="BR190" i="1"/>
  <c r="BQ190" i="1"/>
  <c r="BP190" i="1"/>
  <c r="BO190" i="1"/>
  <c r="BN190" i="1"/>
  <c r="BM190" i="1"/>
  <c r="BL190" i="1"/>
  <c r="BK190" i="1"/>
  <c r="BJ190" i="1"/>
  <c r="BI190" i="1"/>
  <c r="BH190" i="1"/>
  <c r="BG190" i="1"/>
  <c r="BF190" i="1"/>
  <c r="BB190" i="1"/>
  <c r="BA190" i="1"/>
  <c r="AZ190" i="1"/>
  <c r="AY190" i="1"/>
  <c r="AX190" i="1"/>
  <c r="AW190" i="1"/>
  <c r="AV190" i="1"/>
  <c r="AU190" i="1"/>
  <c r="AT190" i="1"/>
  <c r="AS190" i="1"/>
  <c r="AR190" i="1"/>
  <c r="AQ190" i="1"/>
  <c r="AP190" i="1"/>
  <c r="AO190" i="1"/>
  <c r="AN190" i="1"/>
  <c r="AM190" i="1"/>
  <c r="AL190" i="1"/>
  <c r="AK190" i="1"/>
  <c r="AJ190" i="1"/>
  <c r="AI190" i="1"/>
  <c r="AH190" i="1"/>
  <c r="AG190" i="1"/>
  <c r="AF190" i="1"/>
  <c r="AE190" i="1"/>
  <c r="DF189" i="1"/>
  <c r="DE189" i="1"/>
  <c r="CE189" i="1"/>
  <c r="CD189" i="1"/>
  <c r="BD189" i="1"/>
  <c r="BC189" i="1"/>
  <c r="DF188" i="1"/>
  <c r="DE188" i="1"/>
  <c r="CE188" i="1"/>
  <c r="CD188" i="1"/>
  <c r="BD188" i="1"/>
  <c r="BC188" i="1"/>
  <c r="DF187" i="1"/>
  <c r="DE187" i="1"/>
  <c r="CE187" i="1"/>
  <c r="CD187" i="1"/>
  <c r="BD187" i="1"/>
  <c r="BC187" i="1"/>
  <c r="DF186" i="1"/>
  <c r="DE186" i="1"/>
  <c r="CE186" i="1"/>
  <c r="CD186" i="1"/>
  <c r="BD186" i="1"/>
  <c r="BC186" i="1"/>
  <c r="DF185" i="1"/>
  <c r="DE185" i="1"/>
  <c r="CE185" i="1"/>
  <c r="CD185" i="1"/>
  <c r="BD185" i="1"/>
  <c r="BC185" i="1"/>
  <c r="DD245" i="3"/>
  <c r="DC245" i="3"/>
  <c r="DB245" i="3"/>
  <c r="DA245" i="3"/>
  <c r="CZ245" i="3"/>
  <c r="CY245" i="3"/>
  <c r="CX245" i="3"/>
  <c r="CW245" i="3"/>
  <c r="CV245" i="3"/>
  <c r="CU245" i="3"/>
  <c r="CT245" i="3"/>
  <c r="CS245" i="3"/>
  <c r="CR245" i="3"/>
  <c r="CQ245" i="3"/>
  <c r="CP245" i="3"/>
  <c r="CO245" i="3"/>
  <c r="CN245" i="3"/>
  <c r="CM245" i="3"/>
  <c r="CL245" i="3"/>
  <c r="CK245" i="3"/>
  <c r="CJ245" i="3"/>
  <c r="CI245" i="3"/>
  <c r="CH245" i="3"/>
  <c r="CG245" i="3"/>
  <c r="CC245" i="3"/>
  <c r="CB245" i="3"/>
  <c r="CA245" i="3"/>
  <c r="BZ245" i="3"/>
  <c r="BY245" i="3"/>
  <c r="BX245" i="3"/>
  <c r="BW245" i="3"/>
  <c r="BV245" i="3"/>
  <c r="BU245" i="3"/>
  <c r="BT245" i="3"/>
  <c r="BS245" i="3"/>
  <c r="BR245" i="3"/>
  <c r="BQ245" i="3"/>
  <c r="BP245" i="3"/>
  <c r="BO245" i="3"/>
  <c r="BN245" i="3"/>
  <c r="BM245" i="3"/>
  <c r="BL245" i="3"/>
  <c r="BK245" i="3"/>
  <c r="BJ245" i="3"/>
  <c r="BI245" i="3"/>
  <c r="BH245" i="3"/>
  <c r="BG245" i="3"/>
  <c r="BF245" i="3"/>
  <c r="BB245" i="3"/>
  <c r="BA245" i="3"/>
  <c r="AZ245" i="3"/>
  <c r="AY245" i="3"/>
  <c r="AX245" i="3"/>
  <c r="AW245" i="3"/>
  <c r="AV245" i="3"/>
  <c r="AU245" i="3"/>
  <c r="AT245" i="3"/>
  <c r="AS245" i="3"/>
  <c r="AR245" i="3"/>
  <c r="AQ245" i="3"/>
  <c r="AP245" i="3"/>
  <c r="AO245" i="3"/>
  <c r="AN245" i="3"/>
  <c r="AM245" i="3"/>
  <c r="AL245" i="3"/>
  <c r="AK245" i="3"/>
  <c r="AJ245" i="3"/>
  <c r="AI245" i="3"/>
  <c r="AH245" i="3"/>
  <c r="AG245" i="3"/>
  <c r="AF245" i="3"/>
  <c r="AE245" i="3"/>
  <c r="DF244" i="3"/>
  <c r="DE244" i="3"/>
  <c r="CE244" i="3"/>
  <c r="CD244" i="3"/>
  <c r="BD244" i="3"/>
  <c r="BC244" i="3"/>
  <c r="DF243" i="3"/>
  <c r="DE243" i="3"/>
  <c r="CE243" i="3"/>
  <c r="CD243" i="3"/>
  <c r="BD243" i="3"/>
  <c r="BC243" i="3"/>
  <c r="DF242" i="3"/>
  <c r="DE242" i="3"/>
  <c r="CE242" i="3"/>
  <c r="CD242" i="3"/>
  <c r="BD242" i="3"/>
  <c r="BC242" i="3"/>
  <c r="DF241" i="3"/>
  <c r="DE241" i="3"/>
  <c r="CE241" i="3"/>
  <c r="CD241" i="3"/>
  <c r="CE206" i="3"/>
  <c r="CD206" i="3"/>
  <c r="BC206" i="3"/>
  <c r="DF205" i="3"/>
  <c r="DE205" i="3"/>
  <c r="CD205" i="3"/>
  <c r="BD205" i="3"/>
  <c r="BC205" i="3"/>
  <c r="DF199" i="3"/>
  <c r="CE199" i="3"/>
  <c r="CD199" i="3"/>
  <c r="BD199" i="3"/>
  <c r="BC199" i="3"/>
  <c r="DF198" i="3"/>
  <c r="DE198" i="3"/>
  <c r="CD198" i="3"/>
  <c r="DD195" i="3"/>
  <c r="DB195" i="3"/>
  <c r="CZ195" i="3"/>
  <c r="CW195" i="3"/>
  <c r="CT195" i="3"/>
  <c r="CR195" i="3"/>
  <c r="CP195" i="3"/>
  <c r="CI195" i="3"/>
  <c r="CH195" i="3"/>
  <c r="CG195" i="3"/>
  <c r="CC195" i="3"/>
  <c r="CA195" i="3"/>
  <c r="BY195" i="3"/>
  <c r="BW195" i="3"/>
  <c r="BU195" i="3"/>
  <c r="BS195" i="3"/>
  <c r="BQ195" i="3"/>
  <c r="BO195" i="3"/>
  <c r="BM195" i="3"/>
  <c r="BK195" i="3"/>
  <c r="BI195" i="3"/>
  <c r="BG195" i="3"/>
  <c r="BB195" i="3"/>
  <c r="AZ195" i="3"/>
  <c r="AX195" i="3"/>
  <c r="AV195" i="3"/>
  <c r="AT195" i="3"/>
  <c r="AR195" i="3"/>
  <c r="AP195" i="3"/>
  <c r="AN195" i="3"/>
  <c r="AL195" i="3"/>
  <c r="AJ195" i="3"/>
  <c r="AH195" i="3"/>
  <c r="AF195" i="3"/>
  <c r="DD194" i="3"/>
  <c r="DB194" i="3"/>
  <c r="CY194" i="3"/>
  <c r="CW194" i="3"/>
  <c r="CV194" i="3"/>
  <c r="CU194" i="3"/>
  <c r="CT194" i="3"/>
  <c r="CS194" i="3"/>
  <c r="CR194" i="3"/>
  <c r="CP194" i="3"/>
  <c r="CN194" i="3"/>
  <c r="CL194" i="3"/>
  <c r="CJ194" i="3"/>
  <c r="CH194" i="3"/>
  <c r="CB194" i="3"/>
  <c r="BZ194" i="3"/>
  <c r="BX194" i="3"/>
  <c r="BW194" i="3"/>
  <c r="BU194" i="3"/>
  <c r="BS194" i="3"/>
  <c r="BO194" i="3"/>
  <c r="BM194" i="3"/>
  <c r="BK194" i="3"/>
  <c r="BI194" i="3"/>
  <c r="BG194" i="3"/>
  <c r="AW194" i="3"/>
  <c r="AU194" i="3"/>
  <c r="AT194" i="3"/>
  <c r="AS194" i="3"/>
  <c r="AR194" i="3"/>
  <c r="AQ194" i="3"/>
  <c r="AP194" i="3"/>
  <c r="AN194" i="3"/>
  <c r="AL194" i="3"/>
  <c r="AJ194" i="3"/>
  <c r="AH194" i="3"/>
  <c r="AF194" i="3"/>
  <c r="DD193" i="3"/>
  <c r="DB193" i="3"/>
  <c r="CZ193" i="3"/>
  <c r="CX193" i="3"/>
  <c r="CV193" i="3"/>
  <c r="CT193" i="3"/>
  <c r="CR193" i="3"/>
  <c r="CP193" i="3"/>
  <c r="CN193" i="3"/>
  <c r="CB193" i="3"/>
  <c r="BZ193" i="3"/>
  <c r="BY193" i="3"/>
  <c r="BX193" i="3"/>
  <c r="BW193" i="3"/>
  <c r="BV193" i="3"/>
  <c r="AN193" i="3"/>
  <c r="AL193" i="3"/>
  <c r="AJ193" i="3"/>
  <c r="AI193" i="3"/>
  <c r="AH193" i="3"/>
  <c r="AG193" i="3"/>
  <c r="AF193" i="3"/>
  <c r="DD192" i="3"/>
  <c r="DB192" i="3"/>
  <c r="CZ192" i="3"/>
  <c r="CX192" i="3"/>
  <c r="CV192" i="3"/>
  <c r="CQ192" i="3"/>
  <c r="CO192" i="3"/>
  <c r="CN192" i="3"/>
  <c r="CM192" i="3"/>
  <c r="CK192" i="3"/>
  <c r="CJ192" i="3"/>
  <c r="CH192" i="3"/>
  <c r="CC192" i="3"/>
  <c r="CA192" i="3"/>
  <c r="BY192" i="3"/>
  <c r="BW192" i="3"/>
  <c r="BU192" i="3"/>
  <c r="BS192" i="3"/>
  <c r="BQ192" i="3"/>
  <c r="BK192" i="3"/>
  <c r="BI192" i="3"/>
  <c r="BG192" i="3"/>
  <c r="BB192" i="3"/>
  <c r="AZ192" i="3"/>
  <c r="AY192" i="3"/>
  <c r="AX192" i="3"/>
  <c r="AV192" i="3"/>
  <c r="AT192" i="3"/>
  <c r="AR192" i="3"/>
  <c r="AP192" i="3"/>
  <c r="AN192" i="3"/>
  <c r="AL192" i="3"/>
  <c r="AJ192" i="3"/>
  <c r="AH192" i="3"/>
  <c r="AF192" i="3"/>
  <c r="DD191" i="3"/>
  <c r="DB191" i="3"/>
  <c r="CZ191" i="3"/>
  <c r="CX191" i="3"/>
  <c r="CV191" i="3"/>
  <c r="CT191" i="3"/>
  <c r="CR191" i="3"/>
  <c r="CP191" i="3"/>
  <c r="CN191" i="3"/>
  <c r="CL191" i="3"/>
  <c r="CJ191" i="3"/>
  <c r="CH191" i="3"/>
  <c r="CC191" i="3"/>
  <c r="CB191" i="3"/>
  <c r="BZ191" i="3"/>
  <c r="BW191" i="3"/>
  <c r="BU191" i="3"/>
  <c r="BS191" i="3"/>
  <c r="BQ191" i="3"/>
  <c r="BO191" i="3"/>
  <c r="BM191" i="3"/>
  <c r="BK191" i="3"/>
  <c r="BI191" i="3"/>
  <c r="BG191" i="3"/>
  <c r="BB191" i="3"/>
  <c r="AZ191" i="3"/>
  <c r="AX191" i="3"/>
  <c r="AV191" i="3"/>
  <c r="AT191" i="3"/>
  <c r="AR191" i="3"/>
  <c r="AP191" i="3"/>
  <c r="AN191" i="3"/>
  <c r="AL191" i="3"/>
  <c r="AJ191" i="3"/>
  <c r="AH191" i="3"/>
  <c r="AF191" i="3"/>
  <c r="DD190" i="3"/>
  <c r="DB190" i="3"/>
  <c r="DA190" i="3"/>
  <c r="CZ190" i="3"/>
  <c r="CX190" i="3"/>
  <c r="CV190" i="3"/>
  <c r="CT190" i="3"/>
  <c r="CR190" i="3"/>
  <c r="CP190" i="3"/>
  <c r="CN190" i="3"/>
  <c r="CL190" i="3"/>
  <c r="CJ190" i="3"/>
  <c r="CH190" i="3"/>
  <c r="CB190" i="3"/>
  <c r="BZ190" i="3"/>
  <c r="BX190" i="3"/>
  <c r="BV190" i="3"/>
  <c r="BT190" i="3"/>
  <c r="BR190" i="3"/>
  <c r="BP190" i="3"/>
  <c r="BO190" i="3"/>
  <c r="BN190" i="3"/>
  <c r="BM190" i="3"/>
  <c r="BL190" i="3"/>
  <c r="BK190" i="3"/>
  <c r="BA190" i="3"/>
  <c r="AY190" i="3"/>
  <c r="AX190" i="3"/>
  <c r="AW190" i="3"/>
  <c r="AV190" i="3"/>
  <c r="AU190" i="3"/>
  <c r="AT190" i="3"/>
  <c r="AR190" i="3"/>
  <c r="AP190" i="3"/>
  <c r="AN190" i="3"/>
  <c r="AL190" i="3"/>
  <c r="AJ190" i="3"/>
  <c r="AH190" i="3"/>
  <c r="AF190" i="3"/>
  <c r="DF189" i="3"/>
  <c r="BD189" i="3"/>
  <c r="DF188" i="3"/>
  <c r="DE188" i="3"/>
  <c r="CE187" i="3"/>
  <c r="CD187" i="3"/>
  <c r="DF186" i="3"/>
  <c r="DE186" i="3"/>
  <c r="BD186" i="3"/>
  <c r="BC186" i="3"/>
  <c r="DF185" i="3"/>
  <c r="DE185" i="3"/>
  <c r="CD185" i="3"/>
  <c r="BF216" i="3"/>
  <c r="AE216" i="3"/>
  <c r="DF213" i="3"/>
  <c r="DE213" i="3"/>
  <c r="CE213" i="3"/>
  <c r="CD213" i="3"/>
  <c r="BD213" i="3"/>
  <c r="BC213" i="3"/>
  <c r="DF209" i="3"/>
  <c r="DE209" i="3"/>
  <c r="CE209" i="3"/>
  <c r="CD209" i="3"/>
  <c r="BD209" i="3"/>
  <c r="BC209" i="3"/>
  <c r="DF208" i="3"/>
  <c r="DE208" i="3"/>
  <c r="CE204" i="3"/>
  <c r="CD204" i="3"/>
  <c r="BD204" i="3"/>
  <c r="BC204" i="3"/>
  <c r="DE199" i="3"/>
  <c r="B123" i="3"/>
  <c r="B122" i="3"/>
  <c r="B121" i="3"/>
  <c r="B120" i="3"/>
  <c r="B119" i="3"/>
  <c r="B118" i="3"/>
  <c r="B117" i="3"/>
  <c r="B116" i="3"/>
  <c r="B115" i="3"/>
  <c r="B114" i="3"/>
  <c r="B113" i="3"/>
  <c r="B112" i="3"/>
  <c r="B111" i="3"/>
  <c r="B110" i="3"/>
  <c r="B109" i="3"/>
  <c r="B108" i="3"/>
  <c r="B107" i="3"/>
  <c r="B106" i="3"/>
  <c r="B105" i="3"/>
  <c r="B104" i="3"/>
  <c r="B103" i="3"/>
  <c r="B102" i="3"/>
  <c r="C101" i="3"/>
  <c r="B101" i="3"/>
  <c r="B100" i="3"/>
  <c r="B99" i="3"/>
  <c r="Z98" i="3"/>
  <c r="Y98" i="3"/>
  <c r="X98" i="3"/>
  <c r="W98" i="3"/>
  <c r="V98" i="3"/>
  <c r="U98" i="3"/>
  <c r="T98" i="3"/>
  <c r="S98" i="3"/>
  <c r="R98" i="3"/>
  <c r="Q98" i="3"/>
  <c r="P98" i="3"/>
  <c r="O98" i="3"/>
  <c r="N98" i="3"/>
  <c r="M98" i="3"/>
  <c r="L98" i="3"/>
  <c r="K98" i="3"/>
  <c r="J98" i="3"/>
  <c r="I98" i="3"/>
  <c r="H98" i="3"/>
  <c r="G98" i="3"/>
  <c r="F98" i="3"/>
  <c r="E98" i="3"/>
  <c r="D98" i="3"/>
  <c r="C98" i="3"/>
  <c r="B98" i="3"/>
  <c r="Z97" i="3"/>
  <c r="Y97" i="3"/>
  <c r="X97" i="3"/>
  <c r="W97" i="3"/>
  <c r="V97" i="3"/>
  <c r="U97" i="3"/>
  <c r="T97" i="3"/>
  <c r="S97" i="3"/>
  <c r="R97" i="3"/>
  <c r="Q97" i="3"/>
  <c r="P97" i="3"/>
  <c r="O97" i="3"/>
  <c r="N97" i="3"/>
  <c r="M97" i="3"/>
  <c r="L97" i="3"/>
  <c r="K97" i="3"/>
  <c r="J97" i="3"/>
  <c r="I97" i="3"/>
  <c r="H97" i="3"/>
  <c r="G97" i="3"/>
  <c r="F97" i="3"/>
  <c r="E97" i="3"/>
  <c r="D97" i="3"/>
  <c r="C97" i="3"/>
  <c r="B97" i="3"/>
  <c r="Z96" i="3"/>
  <c r="Y96" i="3"/>
  <c r="X96" i="3"/>
  <c r="W96" i="3"/>
  <c r="V96" i="3"/>
  <c r="U96" i="3"/>
  <c r="T96" i="3"/>
  <c r="S96" i="3"/>
  <c r="R96" i="3"/>
  <c r="Q96" i="3"/>
  <c r="P96" i="3"/>
  <c r="O96" i="3"/>
  <c r="N96" i="3"/>
  <c r="M96" i="3"/>
  <c r="L96" i="3"/>
  <c r="K96" i="3"/>
  <c r="J96" i="3"/>
  <c r="I96" i="3"/>
  <c r="H96" i="3"/>
  <c r="G96" i="3"/>
  <c r="F96" i="3"/>
  <c r="E96" i="3"/>
  <c r="D96" i="3"/>
  <c r="C96" i="3"/>
  <c r="B96" i="3"/>
  <c r="Z95" i="3"/>
  <c r="Y95" i="3"/>
  <c r="X95" i="3"/>
  <c r="W95" i="3"/>
  <c r="V95" i="3"/>
  <c r="U95" i="3"/>
  <c r="T95" i="3"/>
  <c r="S95" i="3"/>
  <c r="R95" i="3"/>
  <c r="Q95" i="3"/>
  <c r="P95" i="3"/>
  <c r="O95" i="3"/>
  <c r="N95" i="3"/>
  <c r="M95" i="3"/>
  <c r="L95" i="3"/>
  <c r="K95" i="3"/>
  <c r="J95" i="3"/>
  <c r="I95" i="3"/>
  <c r="H95" i="3"/>
  <c r="G95" i="3"/>
  <c r="F95" i="3"/>
  <c r="E95" i="3"/>
  <c r="D95" i="3"/>
  <c r="C95" i="3"/>
  <c r="B95" i="3"/>
  <c r="B94" i="3"/>
  <c r="B93" i="3"/>
  <c r="Z92" i="3"/>
  <c r="Y92" i="3"/>
  <c r="X92" i="3"/>
  <c r="W92" i="3"/>
  <c r="V92" i="3"/>
  <c r="U92" i="3"/>
  <c r="T92" i="3"/>
  <c r="S92" i="3"/>
  <c r="R92" i="3"/>
  <c r="Q92" i="3"/>
  <c r="P92" i="3"/>
  <c r="O92" i="3"/>
  <c r="N92" i="3"/>
  <c r="M92" i="3"/>
  <c r="L92" i="3"/>
  <c r="K92" i="3"/>
  <c r="J92" i="3"/>
  <c r="I92" i="3"/>
  <c r="H92" i="3"/>
  <c r="G92" i="3"/>
  <c r="F92" i="3"/>
  <c r="E92" i="3"/>
  <c r="D92" i="3"/>
  <c r="C92" i="3"/>
  <c r="B92" i="3"/>
  <c r="B91" i="3"/>
  <c r="B90" i="3"/>
  <c r="B89" i="3"/>
  <c r="B88" i="3"/>
  <c r="B87" i="3"/>
  <c r="B86" i="3"/>
  <c r="B85" i="3"/>
  <c r="Z84" i="3"/>
  <c r="Y84" i="3"/>
  <c r="X84" i="3"/>
  <c r="W84" i="3"/>
  <c r="V84" i="3"/>
  <c r="U84" i="3"/>
  <c r="T84" i="3"/>
  <c r="S84" i="3"/>
  <c r="R84" i="3"/>
  <c r="Q84" i="3"/>
  <c r="P84" i="3"/>
  <c r="O84" i="3"/>
  <c r="N84" i="3"/>
  <c r="M84" i="3"/>
  <c r="L84" i="3"/>
  <c r="K84" i="3"/>
  <c r="J84" i="3"/>
  <c r="I84" i="3"/>
  <c r="H84" i="3"/>
  <c r="G84" i="3"/>
  <c r="F84" i="3"/>
  <c r="E84" i="3"/>
  <c r="D84" i="3"/>
  <c r="C84" i="3"/>
  <c r="B84" i="3"/>
  <c r="B83" i="3"/>
  <c r="B82" i="3"/>
  <c r="B81" i="3"/>
  <c r="B80" i="3"/>
  <c r="B79" i="3"/>
  <c r="B78" i="3"/>
  <c r="B77" i="3"/>
  <c r="Z76" i="3"/>
  <c r="Y76" i="3"/>
  <c r="X76" i="3"/>
  <c r="W76" i="3"/>
  <c r="V76" i="3"/>
  <c r="U76" i="3"/>
  <c r="T76" i="3"/>
  <c r="S76" i="3"/>
  <c r="R76" i="3"/>
  <c r="Q76" i="3"/>
  <c r="P76" i="3"/>
  <c r="O76" i="3"/>
  <c r="N76" i="3"/>
  <c r="M76" i="3"/>
  <c r="L76" i="3"/>
  <c r="K76" i="3"/>
  <c r="J76" i="3"/>
  <c r="I76" i="3"/>
  <c r="H76" i="3"/>
  <c r="G76" i="3"/>
  <c r="F76" i="3"/>
  <c r="E76" i="3"/>
  <c r="D76" i="3"/>
  <c r="C76" i="3"/>
  <c r="B76" i="3"/>
  <c r="B75" i="3"/>
  <c r="B74" i="3"/>
  <c r="B73" i="3"/>
  <c r="Z72" i="3"/>
  <c r="Y72" i="3"/>
  <c r="X72" i="3"/>
  <c r="W72" i="3"/>
  <c r="V72" i="3"/>
  <c r="U72" i="3"/>
  <c r="T72" i="3"/>
  <c r="S72" i="3"/>
  <c r="R72" i="3"/>
  <c r="Q72" i="3"/>
  <c r="P72" i="3"/>
  <c r="O72" i="3"/>
  <c r="N72" i="3"/>
  <c r="M72" i="3"/>
  <c r="L72" i="3"/>
  <c r="K72" i="3"/>
  <c r="J72" i="3"/>
  <c r="I72" i="3"/>
  <c r="H72" i="3"/>
  <c r="G72" i="3"/>
  <c r="F72" i="3"/>
  <c r="E72" i="3"/>
  <c r="D72" i="3"/>
  <c r="C72" i="3"/>
  <c r="B72" i="3"/>
  <c r="Z71" i="3"/>
  <c r="Y71" i="3"/>
  <c r="X71" i="3"/>
  <c r="W71" i="3"/>
  <c r="V71" i="3"/>
  <c r="U71" i="3"/>
  <c r="T71" i="3"/>
  <c r="S71" i="3"/>
  <c r="R71" i="3"/>
  <c r="Q71" i="3"/>
  <c r="P71" i="3"/>
  <c r="O71" i="3"/>
  <c r="N71" i="3"/>
  <c r="M71" i="3"/>
  <c r="L71" i="3"/>
  <c r="K71" i="3"/>
  <c r="J71" i="3"/>
  <c r="I71" i="3"/>
  <c r="H71" i="3"/>
  <c r="G71" i="3"/>
  <c r="F71" i="3"/>
  <c r="E71" i="3"/>
  <c r="D71" i="3"/>
  <c r="C71" i="3"/>
  <c r="B71" i="3"/>
  <c r="Z70" i="3"/>
  <c r="Y70" i="3"/>
  <c r="X70" i="3"/>
  <c r="W70" i="3"/>
  <c r="V70" i="3"/>
  <c r="U70" i="3"/>
  <c r="T70" i="3"/>
  <c r="S70" i="3"/>
  <c r="R70" i="3"/>
  <c r="Q70" i="3"/>
  <c r="P70" i="3"/>
  <c r="O70" i="3"/>
  <c r="N70" i="3"/>
  <c r="M70" i="3"/>
  <c r="L70" i="3"/>
  <c r="K70" i="3"/>
  <c r="J70" i="3"/>
  <c r="I70" i="3"/>
  <c r="H70" i="3"/>
  <c r="G70" i="3"/>
  <c r="F70" i="3"/>
  <c r="E70" i="3"/>
  <c r="D70" i="3"/>
  <c r="C70" i="3"/>
  <c r="B70" i="3"/>
  <c r="Z69" i="3"/>
  <c r="Y69" i="3"/>
  <c r="X69" i="3"/>
  <c r="W69" i="3"/>
  <c r="V69" i="3"/>
  <c r="U69" i="3"/>
  <c r="T69" i="3"/>
  <c r="S69" i="3"/>
  <c r="R69" i="3"/>
  <c r="Q69" i="3"/>
  <c r="P69" i="3"/>
  <c r="O69" i="3"/>
  <c r="N69" i="3"/>
  <c r="M69" i="3"/>
  <c r="L69" i="3"/>
  <c r="K69" i="3"/>
  <c r="J69" i="3"/>
  <c r="I69" i="3"/>
  <c r="H69" i="3"/>
  <c r="G69" i="3"/>
  <c r="F69" i="3"/>
  <c r="E69" i="3"/>
  <c r="D69" i="3"/>
  <c r="C69" i="3"/>
  <c r="B69" i="3"/>
  <c r="B68" i="3"/>
  <c r="B67" i="3"/>
  <c r="B66" i="3"/>
  <c r="B65" i="3"/>
  <c r="B64" i="3"/>
  <c r="Z63" i="3"/>
  <c r="Y63" i="3"/>
  <c r="X63" i="3"/>
  <c r="W63" i="3"/>
  <c r="V63" i="3"/>
  <c r="U63" i="3"/>
  <c r="T63" i="3"/>
  <c r="S63" i="3"/>
  <c r="R63" i="3"/>
  <c r="Q63" i="3"/>
  <c r="P63" i="3"/>
  <c r="O63" i="3"/>
  <c r="N63" i="3"/>
  <c r="M63" i="3"/>
  <c r="L63" i="3"/>
  <c r="K63" i="3"/>
  <c r="J63" i="3"/>
  <c r="I63" i="3"/>
  <c r="H63" i="3"/>
  <c r="G63" i="3"/>
  <c r="F63" i="3"/>
  <c r="E63" i="3"/>
  <c r="D63" i="3"/>
  <c r="C63" i="3"/>
  <c r="B63" i="3"/>
  <c r="Z62" i="3"/>
  <c r="Y62" i="3"/>
  <c r="X62" i="3"/>
  <c r="W62" i="3"/>
  <c r="V62" i="3"/>
  <c r="U62" i="3"/>
  <c r="T62" i="3"/>
  <c r="S62" i="3"/>
  <c r="R62" i="3"/>
  <c r="Q62" i="3"/>
  <c r="P62" i="3"/>
  <c r="O62" i="3"/>
  <c r="N62" i="3"/>
  <c r="M62" i="3"/>
  <c r="L62" i="3"/>
  <c r="K62" i="3"/>
  <c r="J62" i="3"/>
  <c r="I62" i="3"/>
  <c r="H62" i="3"/>
  <c r="G62" i="3"/>
  <c r="F62" i="3"/>
  <c r="E62" i="3"/>
  <c r="D62" i="3"/>
  <c r="C62" i="3"/>
  <c r="B62" i="3"/>
  <c r="Z61" i="3"/>
  <c r="Y61" i="3"/>
  <c r="X61" i="3"/>
  <c r="W61" i="3"/>
  <c r="V61" i="3"/>
  <c r="U61" i="3"/>
  <c r="T61" i="3"/>
  <c r="S61" i="3"/>
  <c r="R61" i="3"/>
  <c r="Q61" i="3"/>
  <c r="P61" i="3"/>
  <c r="O61" i="3"/>
  <c r="N61" i="3"/>
  <c r="M61" i="3"/>
  <c r="L61" i="3"/>
  <c r="K61" i="3"/>
  <c r="J61" i="3"/>
  <c r="I61" i="3"/>
  <c r="H61" i="3"/>
  <c r="G61" i="3"/>
  <c r="F61" i="3"/>
  <c r="E61" i="3"/>
  <c r="D61" i="3"/>
  <c r="C61" i="3"/>
  <c r="B61" i="3"/>
  <c r="Z60" i="3"/>
  <c r="Y60" i="3"/>
  <c r="X60" i="3"/>
  <c r="W60" i="3"/>
  <c r="V60" i="3"/>
  <c r="U60" i="3"/>
  <c r="T60" i="3"/>
  <c r="S60" i="3"/>
  <c r="R60" i="3"/>
  <c r="Q60" i="3"/>
  <c r="P60" i="3"/>
  <c r="O60" i="3"/>
  <c r="N60" i="3"/>
  <c r="M60" i="3"/>
  <c r="L60" i="3"/>
  <c r="K60" i="3"/>
  <c r="J60" i="3"/>
  <c r="I60" i="3"/>
  <c r="H60" i="3"/>
  <c r="G60" i="3"/>
  <c r="F60" i="3"/>
  <c r="E60" i="3"/>
  <c r="D60" i="3"/>
  <c r="C60" i="3"/>
  <c r="B60" i="3"/>
  <c r="B59" i="3"/>
  <c r="B58" i="3"/>
  <c r="B57" i="3"/>
  <c r="Z56" i="3"/>
  <c r="Y56" i="3"/>
  <c r="X56" i="3"/>
  <c r="W56" i="3"/>
  <c r="V56" i="3"/>
  <c r="U56" i="3"/>
  <c r="T56" i="3"/>
  <c r="S56" i="3"/>
  <c r="R56" i="3"/>
  <c r="Q56" i="3"/>
  <c r="P56" i="3"/>
  <c r="O56" i="3"/>
  <c r="N56" i="3"/>
  <c r="M56" i="3"/>
  <c r="L56" i="3"/>
  <c r="K56" i="3"/>
  <c r="J56" i="3"/>
  <c r="I56" i="3"/>
  <c r="H56" i="3"/>
  <c r="G56" i="3"/>
  <c r="F56" i="3"/>
  <c r="E56" i="3"/>
  <c r="D56" i="3"/>
  <c r="C56" i="3"/>
  <c r="B56" i="3"/>
  <c r="Z55" i="3"/>
  <c r="Y55" i="3"/>
  <c r="X55" i="3"/>
  <c r="W55" i="3"/>
  <c r="V55" i="3"/>
  <c r="U55" i="3"/>
  <c r="T55" i="3"/>
  <c r="S55" i="3"/>
  <c r="R55" i="3"/>
  <c r="Q55" i="3"/>
  <c r="P55" i="3"/>
  <c r="O55" i="3"/>
  <c r="N55" i="3"/>
  <c r="M55" i="3"/>
  <c r="L55" i="3"/>
  <c r="K55" i="3"/>
  <c r="J55" i="3"/>
  <c r="I55" i="3"/>
  <c r="H55" i="3"/>
  <c r="G55" i="3"/>
  <c r="F55" i="3"/>
  <c r="E55" i="3"/>
  <c r="D55" i="3"/>
  <c r="C55" i="3"/>
  <c r="B55" i="3"/>
  <c r="Z54" i="3"/>
  <c r="Y54" i="3"/>
  <c r="X54" i="3"/>
  <c r="W54" i="3"/>
  <c r="V54" i="3"/>
  <c r="U54" i="3"/>
  <c r="T54" i="3"/>
  <c r="S54" i="3"/>
  <c r="R54" i="3"/>
  <c r="Q54" i="3"/>
  <c r="P54" i="3"/>
  <c r="O54" i="3"/>
  <c r="N54" i="3"/>
  <c r="M54" i="3"/>
  <c r="L54" i="3"/>
  <c r="K54" i="3"/>
  <c r="J54" i="3"/>
  <c r="I54" i="3"/>
  <c r="H54" i="3"/>
  <c r="G54" i="3"/>
  <c r="F54" i="3"/>
  <c r="E54" i="3"/>
  <c r="D54" i="3"/>
  <c r="C54" i="3"/>
  <c r="B54" i="3"/>
  <c r="Z53" i="3"/>
  <c r="Y53" i="3"/>
  <c r="X53" i="3"/>
  <c r="W53" i="3"/>
  <c r="V53" i="3"/>
  <c r="U53" i="3"/>
  <c r="T53" i="3"/>
  <c r="S53" i="3"/>
  <c r="R53" i="3"/>
  <c r="Q53" i="3"/>
  <c r="P53" i="3"/>
  <c r="O53" i="3"/>
  <c r="N53" i="3"/>
  <c r="M53" i="3"/>
  <c r="L53" i="3"/>
  <c r="K53" i="3"/>
  <c r="J53" i="3"/>
  <c r="I53" i="3"/>
  <c r="H53" i="3"/>
  <c r="G53" i="3"/>
  <c r="F53" i="3"/>
  <c r="E53" i="3"/>
  <c r="D53" i="3"/>
  <c r="C53" i="3"/>
  <c r="B53" i="3"/>
  <c r="Z52" i="3"/>
  <c r="Y52" i="3"/>
  <c r="X52" i="3"/>
  <c r="W52" i="3"/>
  <c r="V52" i="3"/>
  <c r="U52" i="3"/>
  <c r="T52" i="3"/>
  <c r="S52" i="3"/>
  <c r="R52" i="3"/>
  <c r="Q52" i="3"/>
  <c r="P52" i="3"/>
  <c r="O52" i="3"/>
  <c r="N52" i="3"/>
  <c r="M52" i="3"/>
  <c r="L52" i="3"/>
  <c r="K52" i="3"/>
  <c r="J52" i="3"/>
  <c r="I52" i="3"/>
  <c r="H52" i="3"/>
  <c r="G52" i="3"/>
  <c r="F52" i="3"/>
  <c r="E52" i="3"/>
  <c r="D52" i="3"/>
  <c r="C52" i="3"/>
  <c r="B52" i="3"/>
  <c r="B51" i="3"/>
  <c r="B50" i="3"/>
  <c r="AC49" i="3"/>
  <c r="AC75" i="2"/>
  <c r="C28" i="2"/>
  <c r="DD251" i="1"/>
  <c r="DF251" i="1" s="1"/>
  <c r="DB251" i="1"/>
  <c r="CZ251" i="1"/>
  <c r="CX251" i="1"/>
  <c r="CV251" i="1"/>
  <c r="CT251" i="1"/>
  <c r="CQ251" i="1"/>
  <c r="CO251" i="1"/>
  <c r="CL251" i="1"/>
  <c r="CK251" i="1"/>
  <c r="CI251" i="1"/>
  <c r="CH251" i="1"/>
  <c r="CB251" i="1"/>
  <c r="BZ251" i="1"/>
  <c r="BX251" i="1"/>
  <c r="BV251" i="1"/>
  <c r="BU251" i="1"/>
  <c r="BS251" i="1"/>
  <c r="BP251" i="1"/>
  <c r="BN251" i="1"/>
  <c r="BL251" i="1"/>
  <c r="BJ251" i="1"/>
  <c r="AZ251" i="1"/>
  <c r="AX251" i="1"/>
  <c r="AV251" i="1"/>
  <c r="AT251" i="1"/>
  <c r="R107" i="1" s="1"/>
  <c r="AR251" i="1"/>
  <c r="P107" i="1" s="1"/>
  <c r="AP251" i="1"/>
  <c r="AN251" i="1"/>
  <c r="AL251" i="1"/>
  <c r="AJ251" i="1"/>
  <c r="AH251" i="1"/>
  <c r="AF251" i="1"/>
  <c r="DC245" i="1"/>
  <c r="DA245" i="1"/>
  <c r="CY245" i="1"/>
  <c r="CW245" i="1"/>
  <c r="CU245" i="1"/>
  <c r="CS245" i="1"/>
  <c r="CR245" i="1"/>
  <c r="CP245" i="1"/>
  <c r="CN245" i="1"/>
  <c r="CL245" i="1"/>
  <c r="CH245" i="1"/>
  <c r="CC245" i="1"/>
  <c r="CA245" i="1"/>
  <c r="BY245" i="1"/>
  <c r="BW245" i="1"/>
  <c r="BU245" i="1"/>
  <c r="BS245" i="1"/>
  <c r="BQ245" i="1"/>
  <c r="BO245" i="1"/>
  <c r="BM245" i="1"/>
  <c r="BK245" i="1"/>
  <c r="BI245" i="1"/>
  <c r="BF245" i="1"/>
  <c r="BA245" i="1"/>
  <c r="AY245" i="1"/>
  <c r="AW245" i="1"/>
  <c r="AU245" i="1"/>
  <c r="AS245" i="1"/>
  <c r="AQ245" i="1"/>
  <c r="AO245" i="1"/>
  <c r="AM245" i="1"/>
  <c r="AK245" i="1"/>
  <c r="AI245" i="1"/>
  <c r="AG245" i="1"/>
  <c r="AE245" i="1"/>
  <c r="DE244" i="1"/>
  <c r="CE244" i="1"/>
  <c r="BC244" i="1"/>
  <c r="DE243" i="1"/>
  <c r="CD243" i="1"/>
  <c r="BD243" i="1"/>
  <c r="BC243" i="1"/>
  <c r="BD242" i="1"/>
  <c r="DF241" i="1"/>
  <c r="CE213" i="1"/>
  <c r="CD213" i="1"/>
  <c r="BC213" i="1"/>
  <c r="DF209" i="1"/>
  <c r="CE209" i="1"/>
  <c r="BD209" i="1"/>
  <c r="BC209" i="1"/>
  <c r="DE208" i="1"/>
  <c r="CD208" i="1"/>
  <c r="BD208" i="1"/>
  <c r="BC208" i="1"/>
  <c r="CG266" i="1"/>
  <c r="BF266" i="1"/>
  <c r="AE266" i="1"/>
  <c r="CG264" i="1"/>
  <c r="BF264" i="1"/>
  <c r="AE264" i="1"/>
  <c r="CG261" i="1"/>
  <c r="BF261" i="1"/>
  <c r="AE261" i="1"/>
  <c r="DD258" i="1"/>
  <c r="DF258" i="1" s="1"/>
  <c r="DC258" i="1"/>
  <c r="DB258" i="1"/>
  <c r="DA258" i="1"/>
  <c r="CZ258" i="1"/>
  <c r="CY258" i="1"/>
  <c r="CX258" i="1"/>
  <c r="CW258" i="1"/>
  <c r="CV258" i="1"/>
  <c r="CU258" i="1"/>
  <c r="CT258" i="1"/>
  <c r="CS258" i="1"/>
  <c r="CR258" i="1"/>
  <c r="DE258" i="1" s="1"/>
  <c r="CQ258" i="1"/>
  <c r="CP258" i="1"/>
  <c r="CO258" i="1"/>
  <c r="CN258" i="1"/>
  <c r="CM258" i="1"/>
  <c r="CL258" i="1"/>
  <c r="CK258" i="1"/>
  <c r="CJ258" i="1"/>
  <c r="CI258" i="1"/>
  <c r="CH258" i="1"/>
  <c r="CG258" i="1"/>
  <c r="CC258" i="1"/>
  <c r="CE258" i="1" s="1"/>
  <c r="CB258" i="1"/>
  <c r="CA258" i="1"/>
  <c r="BZ258" i="1"/>
  <c r="BY258" i="1"/>
  <c r="BX258" i="1"/>
  <c r="BW258" i="1"/>
  <c r="BV258" i="1"/>
  <c r="BU258" i="1"/>
  <c r="BT258" i="1"/>
  <c r="BS258" i="1"/>
  <c r="BR258" i="1"/>
  <c r="BQ258" i="1"/>
  <c r="CD258" i="1" s="1"/>
  <c r="BP258" i="1"/>
  <c r="BO258" i="1"/>
  <c r="BN258" i="1"/>
  <c r="BM258" i="1"/>
  <c r="BL258" i="1"/>
  <c r="BK258" i="1"/>
  <c r="BJ258" i="1"/>
  <c r="BI258" i="1"/>
  <c r="BH258" i="1"/>
  <c r="BG258" i="1"/>
  <c r="BF258" i="1"/>
  <c r="BB258" i="1"/>
  <c r="BA258" i="1"/>
  <c r="Y113" i="1" s="1"/>
  <c r="AZ258" i="1"/>
  <c r="X113" i="1" s="1"/>
  <c r="AY258" i="1"/>
  <c r="W113" i="1" s="1"/>
  <c r="AX258" i="1"/>
  <c r="V113" i="1" s="1"/>
  <c r="AW258" i="1"/>
  <c r="U113" i="1" s="1"/>
  <c r="AV258" i="1"/>
  <c r="T113" i="1" s="1"/>
  <c r="AU258" i="1"/>
  <c r="S113" i="1" s="1"/>
  <c r="AT258" i="1"/>
  <c r="R113" i="1" s="1"/>
  <c r="AS258" i="1"/>
  <c r="Q113" i="1" s="1"/>
  <c r="AR258" i="1"/>
  <c r="P113" i="1" s="1"/>
  <c r="AQ258" i="1"/>
  <c r="O113" i="1" s="1"/>
  <c r="AP258" i="1"/>
  <c r="AO258" i="1"/>
  <c r="M113" i="1" s="1"/>
  <c r="AN258" i="1"/>
  <c r="L113" i="1" s="1"/>
  <c r="AM258" i="1"/>
  <c r="K113" i="1" s="1"/>
  <c r="AL258" i="1"/>
  <c r="J113" i="1" s="1"/>
  <c r="AK258" i="1"/>
  <c r="I113" i="1" s="1"/>
  <c r="AJ258" i="1"/>
  <c r="H113" i="1" s="1"/>
  <c r="AI258" i="1"/>
  <c r="G113" i="1" s="1"/>
  <c r="AH258" i="1"/>
  <c r="F113" i="1" s="1"/>
  <c r="AG258" i="1"/>
  <c r="E113" i="1" s="1"/>
  <c r="AF258" i="1"/>
  <c r="D113" i="1" s="1"/>
  <c r="AE258" i="1"/>
  <c r="C113" i="1" s="1"/>
  <c r="CG254" i="1"/>
  <c r="BF254" i="1"/>
  <c r="AE254" i="1"/>
  <c r="DC251" i="1"/>
  <c r="DA251" i="1"/>
  <c r="CY251" i="1"/>
  <c r="CW251" i="1"/>
  <c r="CU251" i="1"/>
  <c r="CS251" i="1"/>
  <c r="CR251" i="1"/>
  <c r="DE251" i="1" s="1"/>
  <c r="CP251" i="1"/>
  <c r="CN251" i="1"/>
  <c r="CM251" i="1"/>
  <c r="CJ251" i="1"/>
  <c r="CG251" i="1"/>
  <c r="CC251" i="1"/>
  <c r="CE251" i="1" s="1"/>
  <c r="CA251" i="1"/>
  <c r="BY251" i="1"/>
  <c r="BW251" i="1"/>
  <c r="BT251" i="1"/>
  <c r="BR251" i="1"/>
  <c r="BQ251" i="1"/>
  <c r="CD251" i="1" s="1"/>
  <c r="BO251" i="1"/>
  <c r="BM251" i="1"/>
  <c r="BK251" i="1"/>
  <c r="BI251" i="1"/>
  <c r="BH251" i="1"/>
  <c r="BG251" i="1"/>
  <c r="BF251" i="1"/>
  <c r="BB251" i="1"/>
  <c r="BA251" i="1"/>
  <c r="Y107" i="1" s="1"/>
  <c r="AY251" i="1"/>
  <c r="W107" i="1" s="1"/>
  <c r="AW251" i="1"/>
  <c r="U107" i="1" s="1"/>
  <c r="AU251" i="1"/>
  <c r="S107" i="1" s="1"/>
  <c r="AS251" i="1"/>
  <c r="Q107" i="1" s="1"/>
  <c r="AQ251" i="1"/>
  <c r="AO251" i="1"/>
  <c r="M107" i="1" s="1"/>
  <c r="AM251" i="1"/>
  <c r="K107" i="1" s="1"/>
  <c r="AK251" i="1"/>
  <c r="I107" i="1" s="1"/>
  <c r="AI251" i="1"/>
  <c r="G107" i="1" s="1"/>
  <c r="AG251" i="1"/>
  <c r="E107" i="1" s="1"/>
  <c r="AE251" i="1"/>
  <c r="C107" i="1" s="1"/>
  <c r="DD245" i="1"/>
  <c r="DB245" i="1"/>
  <c r="CZ245" i="1"/>
  <c r="CX245" i="1"/>
  <c r="CV245" i="1"/>
  <c r="CT245" i="1"/>
  <c r="CQ245" i="1"/>
  <c r="CO245" i="1"/>
  <c r="CM245" i="1"/>
  <c r="CK245" i="1"/>
  <c r="CJ245" i="1"/>
  <c r="CI245" i="1"/>
  <c r="CG245" i="1"/>
  <c r="CB245" i="1"/>
  <c r="BZ245" i="1"/>
  <c r="BX245" i="1"/>
  <c r="BV245" i="1"/>
  <c r="BT245" i="1"/>
  <c r="BR245" i="1"/>
  <c r="BP245" i="1"/>
  <c r="BN245" i="1"/>
  <c r="BL245" i="1"/>
  <c r="BJ245" i="1"/>
  <c r="BH245" i="1"/>
  <c r="BG245" i="1"/>
  <c r="BB245" i="1"/>
  <c r="AZ245" i="1"/>
  <c r="AX245" i="1"/>
  <c r="AV245" i="1"/>
  <c r="AT245" i="1"/>
  <c r="AR245" i="1"/>
  <c r="AP245" i="1"/>
  <c r="AN245" i="1"/>
  <c r="AL245" i="1"/>
  <c r="AJ245" i="1"/>
  <c r="AH245" i="1"/>
  <c r="AF245" i="1"/>
  <c r="DF244" i="1"/>
  <c r="CD244" i="1"/>
  <c r="BD244" i="1"/>
  <c r="DF243" i="1"/>
  <c r="CE243" i="1"/>
  <c r="DF242" i="1"/>
  <c r="DE242" i="1"/>
  <c r="CE242" i="1"/>
  <c r="CD242" i="1"/>
  <c r="BC242" i="1"/>
  <c r="DE241" i="1"/>
  <c r="BD213" i="1"/>
  <c r="DE209" i="1"/>
  <c r="CD209" i="1"/>
  <c r="DF208" i="1"/>
  <c r="CE208" i="1"/>
  <c r="CE241" i="1"/>
  <c r="CD241" i="1"/>
  <c r="BD241" i="1"/>
  <c r="BC241" i="1"/>
  <c r="DD240" i="1"/>
  <c r="DC240" i="1"/>
  <c r="DB240" i="1"/>
  <c r="DA240" i="1"/>
  <c r="CZ240" i="1"/>
  <c r="CY240" i="1"/>
  <c r="CX240" i="1"/>
  <c r="CW240" i="1"/>
  <c r="CV240" i="1"/>
  <c r="CU240" i="1"/>
  <c r="CT240" i="1"/>
  <c r="CS240" i="1"/>
  <c r="CR240" i="1"/>
  <c r="CQ240" i="1"/>
  <c r="CP240" i="1"/>
  <c r="CO240" i="1"/>
  <c r="CN240" i="1"/>
  <c r="CM240" i="1"/>
  <c r="CL240" i="1"/>
  <c r="CK240" i="1"/>
  <c r="CJ240" i="1"/>
  <c r="CI240" i="1"/>
  <c r="CH240" i="1"/>
  <c r="CG240" i="1"/>
  <c r="DE240" i="1" s="1"/>
  <c r="CC240" i="1"/>
  <c r="CB240" i="1"/>
  <c r="CA240" i="1"/>
  <c r="BZ240" i="1"/>
  <c r="BY240" i="1"/>
  <c r="BX240" i="1"/>
  <c r="BW240" i="1"/>
  <c r="BV240" i="1"/>
  <c r="BU240" i="1"/>
  <c r="BT240" i="1"/>
  <c r="BS240" i="1"/>
  <c r="BR240" i="1"/>
  <c r="BQ240" i="1"/>
  <c r="BP240" i="1"/>
  <c r="BO240" i="1"/>
  <c r="BN240" i="1"/>
  <c r="BM240" i="1"/>
  <c r="BL240" i="1"/>
  <c r="BK240" i="1"/>
  <c r="BJ240" i="1"/>
  <c r="BI240" i="1"/>
  <c r="BH240" i="1"/>
  <c r="BG240" i="1"/>
  <c r="BF240" i="1"/>
  <c r="BB240" i="1"/>
  <c r="BA240" i="1"/>
  <c r="AZ240" i="1"/>
  <c r="AY240" i="1"/>
  <c r="AX240" i="1"/>
  <c r="AW240" i="1"/>
  <c r="AV240" i="1"/>
  <c r="AU240" i="1"/>
  <c r="AT240" i="1"/>
  <c r="AS240" i="1"/>
  <c r="AR240" i="1"/>
  <c r="AQ240" i="1"/>
  <c r="AP240" i="1"/>
  <c r="AO240" i="1"/>
  <c r="AN240" i="1"/>
  <c r="AM240" i="1"/>
  <c r="AL240" i="1"/>
  <c r="AK240" i="1"/>
  <c r="AJ240" i="1"/>
  <c r="AI240" i="1"/>
  <c r="AH240" i="1"/>
  <c r="AG240" i="1"/>
  <c r="AF240" i="1"/>
  <c r="AE240" i="1"/>
  <c r="DF239" i="1"/>
  <c r="DE239" i="1"/>
  <c r="CE239" i="1"/>
  <c r="CD239" i="1"/>
  <c r="BD239" i="1"/>
  <c r="BC239" i="1"/>
  <c r="CG232" i="1"/>
  <c r="BF232" i="1"/>
  <c r="AK232" i="1"/>
  <c r="AJ232" i="1"/>
  <c r="AI232" i="1"/>
  <c r="AH232" i="1"/>
  <c r="AG232" i="1"/>
  <c r="AF232" i="1"/>
  <c r="AE232" i="1"/>
  <c r="DF231" i="1"/>
  <c r="DE231" i="1"/>
  <c r="CE231" i="1"/>
  <c r="CD231" i="1"/>
  <c r="BD231" i="1"/>
  <c r="BC231" i="1"/>
  <c r="DD229" i="1"/>
  <c r="DC229" i="1"/>
  <c r="DB229" i="1"/>
  <c r="DA229" i="1"/>
  <c r="CZ229" i="1"/>
  <c r="CY229" i="1"/>
  <c r="CX229" i="1"/>
  <c r="CW229" i="1"/>
  <c r="CV229" i="1"/>
  <c r="CU229" i="1"/>
  <c r="CT229" i="1"/>
  <c r="CS229" i="1"/>
  <c r="DF229" i="1" s="1"/>
  <c r="CR229" i="1"/>
  <c r="CQ229" i="1"/>
  <c r="CP229" i="1"/>
  <c r="CO229" i="1"/>
  <c r="CN229" i="1"/>
  <c r="CM229" i="1"/>
  <c r="CL229" i="1"/>
  <c r="CK229" i="1"/>
  <c r="CJ229" i="1"/>
  <c r="CI229" i="1"/>
  <c r="CH229" i="1"/>
  <c r="CG229" i="1"/>
  <c r="DE229" i="1" s="1"/>
  <c r="CC229" i="1"/>
  <c r="CB229" i="1"/>
  <c r="CA229" i="1"/>
  <c r="BZ229" i="1"/>
  <c r="BY229" i="1"/>
  <c r="BX229" i="1"/>
  <c r="BW229" i="1"/>
  <c r="BV229" i="1"/>
  <c r="BU229" i="1"/>
  <c r="BT229" i="1"/>
  <c r="BS229" i="1"/>
  <c r="BR229" i="1"/>
  <c r="CE229" i="1" s="1"/>
  <c r="BQ229" i="1"/>
  <c r="BP229" i="1"/>
  <c r="BO229" i="1"/>
  <c r="BN229" i="1"/>
  <c r="BM229" i="1"/>
  <c r="BL229" i="1"/>
  <c r="BK229" i="1"/>
  <c r="BJ229" i="1"/>
  <c r="BI229" i="1"/>
  <c r="BH229" i="1"/>
  <c r="BG229" i="1"/>
  <c r="BF229" i="1"/>
  <c r="CD229" i="1" s="1"/>
  <c r="BB229" i="1"/>
  <c r="BA229" i="1"/>
  <c r="AZ229" i="1"/>
  <c r="AY229" i="1"/>
  <c r="AX229" i="1"/>
  <c r="AW229" i="1"/>
  <c r="AV229" i="1"/>
  <c r="AU229" i="1"/>
  <c r="AT229" i="1"/>
  <c r="AS229" i="1"/>
  <c r="AR229" i="1"/>
  <c r="AQ229" i="1"/>
  <c r="AP229" i="1"/>
  <c r="AO229" i="1"/>
  <c r="AN229" i="1"/>
  <c r="AM229" i="1"/>
  <c r="AL229" i="1"/>
  <c r="AK229" i="1"/>
  <c r="AJ229" i="1"/>
  <c r="AI229" i="1"/>
  <c r="AH229" i="1"/>
  <c r="AG229" i="1"/>
  <c r="AF229" i="1"/>
  <c r="AE229" i="1"/>
  <c r="DF228" i="1"/>
  <c r="DE228" i="1"/>
  <c r="CE228" i="1"/>
  <c r="CD228" i="1"/>
  <c r="BD228" i="1"/>
  <c r="BC228" i="1"/>
  <c r="DF227" i="1"/>
  <c r="DE227" i="1"/>
  <c r="CE227" i="1"/>
  <c r="CD227" i="1"/>
  <c r="BD227" i="1"/>
  <c r="BC227" i="1"/>
  <c r="CG216" i="1"/>
  <c r="BF216" i="1"/>
  <c r="AE216" i="1"/>
  <c r="DF213" i="1"/>
  <c r="DE213" i="1"/>
  <c r="CE207" i="1"/>
  <c r="CD207" i="1"/>
  <c r="BD207" i="1"/>
  <c r="BC207" i="1"/>
  <c r="DF206" i="1"/>
  <c r="DE206" i="1"/>
  <c r="CE206" i="1"/>
  <c r="CD206" i="1"/>
  <c r="BD206" i="1"/>
  <c r="BC206" i="1"/>
  <c r="DF205" i="1"/>
  <c r="DE205" i="1"/>
  <c r="CE205" i="1"/>
  <c r="CD205" i="1"/>
  <c r="BD205" i="1"/>
  <c r="BC205" i="1"/>
  <c r="DF204" i="1"/>
  <c r="DE204" i="1"/>
  <c r="CE204" i="1"/>
  <c r="CD204" i="1"/>
  <c r="BD204" i="1"/>
  <c r="BC204" i="1"/>
  <c r="DF199" i="1"/>
  <c r="DE199" i="1"/>
  <c r="CE199" i="1"/>
  <c r="CD199" i="1"/>
  <c r="BD199" i="1"/>
  <c r="BC199" i="1"/>
  <c r="DF198" i="1"/>
  <c r="DE198" i="1"/>
  <c r="CE198" i="1"/>
  <c r="CD198" i="1"/>
  <c r="BD198" i="1"/>
  <c r="BC198" i="1"/>
  <c r="DF197" i="1"/>
  <c r="DE197" i="1"/>
  <c r="C101" i="1"/>
  <c r="B101" i="1"/>
  <c r="B100" i="1"/>
  <c r="B99" i="1"/>
  <c r="Z98" i="1"/>
  <c r="Y98" i="1"/>
  <c r="X98" i="1"/>
  <c r="W98" i="1"/>
  <c r="V98" i="1"/>
  <c r="U98" i="1"/>
  <c r="T98" i="1"/>
  <c r="S98" i="1"/>
  <c r="R98" i="1"/>
  <c r="Q98" i="1"/>
  <c r="P98" i="1"/>
  <c r="O98" i="1"/>
  <c r="N98" i="1"/>
  <c r="M98" i="1"/>
  <c r="L98" i="1"/>
  <c r="K98" i="1"/>
  <c r="J98" i="1"/>
  <c r="I98" i="1"/>
  <c r="H98" i="1"/>
  <c r="G98" i="1"/>
  <c r="F98" i="1"/>
  <c r="E98" i="1"/>
  <c r="D98" i="1"/>
  <c r="C98" i="1"/>
  <c r="B98" i="1"/>
  <c r="Z97" i="1"/>
  <c r="Y97" i="1"/>
  <c r="X97" i="1"/>
  <c r="W97" i="1"/>
  <c r="V97" i="1"/>
  <c r="U97" i="1"/>
  <c r="T97" i="1"/>
  <c r="S97" i="1"/>
  <c r="R97" i="1"/>
  <c r="Q97" i="1"/>
  <c r="P97" i="1"/>
  <c r="O97" i="1"/>
  <c r="N97" i="1"/>
  <c r="M97" i="1"/>
  <c r="L97" i="1"/>
  <c r="K97" i="1"/>
  <c r="J97" i="1"/>
  <c r="I97" i="1"/>
  <c r="H97" i="1"/>
  <c r="G97" i="1"/>
  <c r="F97" i="1"/>
  <c r="E97" i="1"/>
  <c r="D97" i="1"/>
  <c r="C97" i="1"/>
  <c r="B97" i="1"/>
  <c r="Z96" i="1"/>
  <c r="Y96" i="1"/>
  <c r="X96" i="1"/>
  <c r="W96" i="1"/>
  <c r="V96" i="1"/>
  <c r="U96" i="1"/>
  <c r="T96" i="1"/>
  <c r="S96" i="1"/>
  <c r="R96" i="1"/>
  <c r="Q96" i="1"/>
  <c r="P96" i="1"/>
  <c r="O96" i="1"/>
  <c r="N96" i="1"/>
  <c r="M96" i="1"/>
  <c r="L96" i="1"/>
  <c r="K96" i="1"/>
  <c r="J96" i="1"/>
  <c r="I96" i="1"/>
  <c r="H96" i="1"/>
  <c r="G96" i="1"/>
  <c r="F96" i="1"/>
  <c r="E96" i="1"/>
  <c r="D96" i="1"/>
  <c r="C96" i="1"/>
  <c r="B96" i="1"/>
  <c r="Z95" i="1"/>
  <c r="Y95" i="1"/>
  <c r="X95" i="1"/>
  <c r="W95" i="1"/>
  <c r="V95" i="1"/>
  <c r="U95" i="1"/>
  <c r="T95" i="1"/>
  <c r="S95" i="1"/>
  <c r="R95" i="1"/>
  <c r="Q95" i="1"/>
  <c r="P95" i="1"/>
  <c r="O95" i="1"/>
  <c r="N95" i="1"/>
  <c r="M95" i="1"/>
  <c r="L95" i="1"/>
  <c r="K95" i="1"/>
  <c r="J95" i="1"/>
  <c r="I95" i="1"/>
  <c r="H95" i="1"/>
  <c r="G95" i="1"/>
  <c r="F95" i="1"/>
  <c r="E95" i="1"/>
  <c r="D95" i="1"/>
  <c r="C95" i="1"/>
  <c r="B95" i="1"/>
  <c r="B94" i="1"/>
  <c r="B93" i="1"/>
  <c r="Z92" i="1"/>
  <c r="Y92" i="1"/>
  <c r="X92" i="1"/>
  <c r="W92" i="1"/>
  <c r="V92" i="1"/>
  <c r="U92" i="1"/>
  <c r="T92" i="1"/>
  <c r="S92" i="1"/>
  <c r="R92" i="1"/>
  <c r="Q92" i="1"/>
  <c r="P92" i="1"/>
  <c r="O92" i="1"/>
  <c r="N92" i="1"/>
  <c r="M92" i="1"/>
  <c r="L92" i="1"/>
  <c r="K92" i="1"/>
  <c r="J92" i="1"/>
  <c r="I92" i="1"/>
  <c r="H92" i="1"/>
  <c r="G92" i="1"/>
  <c r="F92" i="1"/>
  <c r="E92" i="1"/>
  <c r="D92" i="1"/>
  <c r="C92" i="1"/>
  <c r="B92" i="1"/>
  <c r="B91" i="1"/>
  <c r="B90" i="1"/>
  <c r="B89" i="1"/>
  <c r="B88" i="1"/>
  <c r="B87" i="1"/>
  <c r="B86" i="1"/>
  <c r="B85" i="1"/>
  <c r="Z84" i="1"/>
  <c r="Y84" i="1"/>
  <c r="X84" i="1"/>
  <c r="W84" i="1"/>
  <c r="V84" i="1"/>
  <c r="U84" i="1"/>
  <c r="T84" i="1"/>
  <c r="S84" i="1"/>
  <c r="R84" i="1"/>
  <c r="Q84" i="1"/>
  <c r="P84" i="1"/>
  <c r="O84" i="1"/>
  <c r="N84" i="1"/>
  <c r="M84" i="1"/>
  <c r="L84" i="1"/>
  <c r="K84" i="1"/>
  <c r="J84" i="1"/>
  <c r="I84" i="1"/>
  <c r="H84" i="1"/>
  <c r="G84" i="1"/>
  <c r="F84" i="1"/>
  <c r="E84" i="1"/>
  <c r="D84" i="1"/>
  <c r="C84" i="1"/>
  <c r="B84" i="1"/>
  <c r="B83" i="1"/>
  <c r="B82" i="1"/>
  <c r="B81" i="1"/>
  <c r="B80" i="1"/>
  <c r="B79" i="1"/>
  <c r="B78" i="1"/>
  <c r="B77" i="1"/>
  <c r="Z76" i="1"/>
  <c r="Y76" i="1"/>
  <c r="X76" i="1"/>
  <c r="W76" i="1"/>
  <c r="V76" i="1"/>
  <c r="U76" i="1"/>
  <c r="T76" i="1"/>
  <c r="S76" i="1"/>
  <c r="R76" i="1"/>
  <c r="Q76" i="1"/>
  <c r="P76" i="1"/>
  <c r="O76" i="1"/>
  <c r="N76" i="1"/>
  <c r="M76" i="1"/>
  <c r="L76" i="1"/>
  <c r="K76" i="1"/>
  <c r="J76" i="1"/>
  <c r="I76" i="1"/>
  <c r="H76" i="1"/>
  <c r="G76" i="1"/>
  <c r="F76" i="1"/>
  <c r="E76" i="1"/>
  <c r="D76" i="1"/>
  <c r="C76" i="1"/>
  <c r="B76" i="1"/>
  <c r="B75" i="1"/>
  <c r="B74" i="1"/>
  <c r="B73" i="1"/>
  <c r="Z72" i="1"/>
  <c r="Y72" i="1"/>
  <c r="X72" i="1"/>
  <c r="W72" i="1"/>
  <c r="V72" i="1"/>
  <c r="U72" i="1"/>
  <c r="T72" i="1"/>
  <c r="S72" i="1"/>
  <c r="R72" i="1"/>
  <c r="Q72" i="1"/>
  <c r="P72" i="1"/>
  <c r="O72" i="1"/>
  <c r="N72" i="1"/>
  <c r="M72" i="1"/>
  <c r="L72" i="1"/>
  <c r="K72" i="1"/>
  <c r="J72" i="1"/>
  <c r="I72" i="1"/>
  <c r="H72" i="1"/>
  <c r="G72" i="1"/>
  <c r="F72" i="1"/>
  <c r="E72" i="1"/>
  <c r="D72" i="1"/>
  <c r="C72" i="1"/>
  <c r="B72" i="1"/>
  <c r="Z71" i="1"/>
  <c r="Y71" i="1"/>
  <c r="X71" i="1"/>
  <c r="W71" i="1"/>
  <c r="V71" i="1"/>
  <c r="U71" i="1"/>
  <c r="T71" i="1"/>
  <c r="S71" i="1"/>
  <c r="R71" i="1"/>
  <c r="Q71" i="1"/>
  <c r="P71" i="1"/>
  <c r="O71" i="1"/>
  <c r="N71" i="1"/>
  <c r="M71" i="1"/>
  <c r="L71" i="1"/>
  <c r="K71" i="1"/>
  <c r="J71" i="1"/>
  <c r="I71" i="1"/>
  <c r="H71" i="1"/>
  <c r="G71" i="1"/>
  <c r="F71" i="1"/>
  <c r="E71" i="1"/>
  <c r="D71" i="1"/>
  <c r="C71" i="1"/>
  <c r="B71" i="1"/>
  <c r="Z70" i="1"/>
  <c r="Y70" i="1"/>
  <c r="X70" i="1"/>
  <c r="W70" i="1"/>
  <c r="V70" i="1"/>
  <c r="U70" i="1"/>
  <c r="T70" i="1"/>
  <c r="S70" i="1"/>
  <c r="R70" i="1"/>
  <c r="Q70" i="1"/>
  <c r="P70" i="1"/>
  <c r="O70" i="1"/>
  <c r="N70" i="1"/>
  <c r="M70" i="1"/>
  <c r="L70" i="1"/>
  <c r="K70" i="1"/>
  <c r="J70" i="1"/>
  <c r="I70" i="1"/>
  <c r="H70" i="1"/>
  <c r="G70" i="1"/>
  <c r="F70" i="1"/>
  <c r="E70" i="1"/>
  <c r="D70" i="1"/>
  <c r="C70" i="1"/>
  <c r="B70" i="1"/>
  <c r="Z69" i="1"/>
  <c r="Y69" i="1"/>
  <c r="X69" i="1"/>
  <c r="W69" i="1"/>
  <c r="V69" i="1"/>
  <c r="U69" i="1"/>
  <c r="T69" i="1"/>
  <c r="S69" i="1"/>
  <c r="R69" i="1"/>
  <c r="Q69" i="1"/>
  <c r="P69" i="1"/>
  <c r="O69" i="1"/>
  <c r="N69" i="1"/>
  <c r="M69" i="1"/>
  <c r="L69" i="1"/>
  <c r="K69" i="1"/>
  <c r="J69" i="1"/>
  <c r="I69" i="1"/>
  <c r="H69" i="1"/>
  <c r="G69" i="1"/>
  <c r="F69" i="1"/>
  <c r="E69" i="1"/>
  <c r="D69" i="1"/>
  <c r="C69" i="1"/>
  <c r="B69" i="1"/>
  <c r="B68" i="1"/>
  <c r="B67" i="1"/>
  <c r="B66" i="1"/>
  <c r="B65" i="1"/>
  <c r="B64" i="1"/>
  <c r="Z63" i="1"/>
  <c r="Y63" i="1"/>
  <c r="X63" i="1"/>
  <c r="W63" i="1"/>
  <c r="V63" i="1"/>
  <c r="U63" i="1"/>
  <c r="T63" i="1"/>
  <c r="S63" i="1"/>
  <c r="R63" i="1"/>
  <c r="Q63" i="1"/>
  <c r="P63" i="1"/>
  <c r="O63" i="1"/>
  <c r="N63" i="1"/>
  <c r="M63" i="1"/>
  <c r="L63" i="1"/>
  <c r="K63" i="1"/>
  <c r="J63" i="1"/>
  <c r="I63" i="1"/>
  <c r="H63" i="1"/>
  <c r="G63" i="1"/>
  <c r="F63" i="1"/>
  <c r="E63" i="1"/>
  <c r="D63" i="1"/>
  <c r="C63" i="1"/>
  <c r="B63" i="1"/>
  <c r="Z62" i="1"/>
  <c r="Y62" i="1"/>
  <c r="X62" i="1"/>
  <c r="W62" i="1"/>
  <c r="V62" i="1"/>
  <c r="U62" i="1"/>
  <c r="T62" i="1"/>
  <c r="S62" i="1"/>
  <c r="R62" i="1"/>
  <c r="Q62" i="1"/>
  <c r="P62" i="1"/>
  <c r="O62" i="1"/>
  <c r="N62" i="1"/>
  <c r="M62" i="1"/>
  <c r="L62" i="1"/>
  <c r="K62" i="1"/>
  <c r="J62" i="1"/>
  <c r="I62" i="1"/>
  <c r="H62" i="1"/>
  <c r="G62" i="1"/>
  <c r="F62" i="1"/>
  <c r="E62" i="1"/>
  <c r="D62" i="1"/>
  <c r="C62" i="1"/>
  <c r="B62" i="1"/>
  <c r="Z61" i="1"/>
  <c r="Y61" i="1"/>
  <c r="X61" i="1"/>
  <c r="W61" i="1"/>
  <c r="V61" i="1"/>
  <c r="U61" i="1"/>
  <c r="T61" i="1"/>
  <c r="S61" i="1"/>
  <c r="R61" i="1"/>
  <c r="Q61" i="1"/>
  <c r="P61" i="1"/>
  <c r="O61" i="1"/>
  <c r="N61" i="1"/>
  <c r="M61" i="1"/>
  <c r="L61" i="1"/>
  <c r="K61" i="1"/>
  <c r="J61" i="1"/>
  <c r="I61" i="1"/>
  <c r="H61" i="1"/>
  <c r="G61" i="1"/>
  <c r="F61" i="1"/>
  <c r="E61" i="1"/>
  <c r="D61" i="1"/>
  <c r="C61" i="1"/>
  <c r="B61" i="1"/>
  <c r="Z60" i="1"/>
  <c r="Y60" i="1"/>
  <c r="X60" i="1"/>
  <c r="W60" i="1"/>
  <c r="V60" i="1"/>
  <c r="U60" i="1"/>
  <c r="T60" i="1"/>
  <c r="S60" i="1"/>
  <c r="R60" i="1"/>
  <c r="Q60" i="1"/>
  <c r="P60" i="1"/>
  <c r="O60" i="1"/>
  <c r="N60" i="1"/>
  <c r="M60" i="1"/>
  <c r="L60" i="1"/>
  <c r="K60" i="1"/>
  <c r="J60" i="1"/>
  <c r="I60" i="1"/>
  <c r="H60" i="1"/>
  <c r="G60" i="1"/>
  <c r="F60" i="1"/>
  <c r="E60" i="1"/>
  <c r="D60" i="1"/>
  <c r="C60" i="1"/>
  <c r="B60" i="1"/>
  <c r="B59" i="1"/>
  <c r="B58" i="1"/>
  <c r="B57" i="1"/>
  <c r="Z56" i="1"/>
  <c r="Y56" i="1"/>
  <c r="X56" i="1"/>
  <c r="W56" i="1"/>
  <c r="V56" i="1"/>
  <c r="U56" i="1"/>
  <c r="T56" i="1"/>
  <c r="S56" i="1"/>
  <c r="R56" i="1"/>
  <c r="Q56" i="1"/>
  <c r="P56" i="1"/>
  <c r="O56" i="1"/>
  <c r="N56" i="1"/>
  <c r="M56" i="1"/>
  <c r="L56" i="1"/>
  <c r="K56" i="1"/>
  <c r="J56" i="1"/>
  <c r="I56" i="1"/>
  <c r="H56" i="1"/>
  <c r="G56" i="1"/>
  <c r="F56" i="1"/>
  <c r="E56" i="1"/>
  <c r="D56" i="1"/>
  <c r="C56" i="1"/>
  <c r="B56" i="1"/>
  <c r="Z55" i="1"/>
  <c r="Y55" i="1"/>
  <c r="X55" i="1"/>
  <c r="W55" i="1"/>
  <c r="V55" i="1"/>
  <c r="U55" i="1"/>
  <c r="T55" i="1"/>
  <c r="S55" i="1"/>
  <c r="R55" i="1"/>
  <c r="Q55" i="1"/>
  <c r="P55" i="1"/>
  <c r="O55" i="1"/>
  <c r="N55" i="1"/>
  <c r="M55" i="1"/>
  <c r="L55" i="1"/>
  <c r="K55" i="1"/>
  <c r="J55" i="1"/>
  <c r="I55" i="1"/>
  <c r="H55" i="1"/>
  <c r="G55" i="1"/>
  <c r="F55" i="1"/>
  <c r="E55" i="1"/>
  <c r="D55" i="1"/>
  <c r="C55" i="1"/>
  <c r="B55" i="1"/>
  <c r="Z54" i="1"/>
  <c r="Y54" i="1"/>
  <c r="X54" i="1"/>
  <c r="W54" i="1"/>
  <c r="V54" i="1"/>
  <c r="U54" i="1"/>
  <c r="T54" i="1"/>
  <c r="S54" i="1"/>
  <c r="R54" i="1"/>
  <c r="Q54" i="1"/>
  <c r="P54" i="1"/>
  <c r="O54" i="1"/>
  <c r="N54" i="1"/>
  <c r="M54" i="1"/>
  <c r="L54" i="1"/>
  <c r="K54" i="1"/>
  <c r="J54" i="1"/>
  <c r="I54" i="1"/>
  <c r="H54" i="1"/>
  <c r="G54" i="1"/>
  <c r="F54" i="1"/>
  <c r="E54" i="1"/>
  <c r="D54" i="1"/>
  <c r="C54" i="1"/>
  <c r="B54" i="1"/>
  <c r="Z53" i="1"/>
  <c r="Y53" i="1"/>
  <c r="X53" i="1"/>
  <c r="W53" i="1"/>
  <c r="V53" i="1"/>
  <c r="U53" i="1"/>
  <c r="T53" i="1"/>
  <c r="S53" i="1"/>
  <c r="R53" i="1"/>
  <c r="Q53" i="1"/>
  <c r="P53" i="1"/>
  <c r="O53" i="1"/>
  <c r="N53" i="1"/>
  <c r="M53" i="1"/>
  <c r="L53" i="1"/>
  <c r="K53" i="1"/>
  <c r="J53" i="1"/>
  <c r="I53" i="1"/>
  <c r="H53" i="1"/>
  <c r="G53" i="1"/>
  <c r="F53" i="1"/>
  <c r="E53" i="1"/>
  <c r="D53" i="1"/>
  <c r="C53" i="1"/>
  <c r="B53" i="1"/>
  <c r="Z52" i="1"/>
  <c r="Y52" i="1"/>
  <c r="X52" i="1"/>
  <c r="W52" i="1"/>
  <c r="V52" i="1"/>
  <c r="U52" i="1"/>
  <c r="T52" i="1"/>
  <c r="S52" i="1"/>
  <c r="R52" i="1"/>
  <c r="Q52" i="1"/>
  <c r="P52" i="1"/>
  <c r="O52" i="1"/>
  <c r="N52" i="1"/>
  <c r="M52" i="1"/>
  <c r="L52" i="1"/>
  <c r="K52" i="1"/>
  <c r="J52" i="1"/>
  <c r="I52" i="1"/>
  <c r="H52" i="1"/>
  <c r="G52" i="1"/>
  <c r="F52" i="1"/>
  <c r="E52" i="1"/>
  <c r="D52" i="1"/>
  <c r="C52" i="1"/>
  <c r="B52" i="1"/>
  <c r="B51" i="1"/>
  <c r="B50" i="1"/>
  <c r="AC49" i="1"/>
  <c r="CG254" i="3"/>
  <c r="AE254" i="3"/>
  <c r="AX251" i="3"/>
  <c r="AU251" i="3"/>
  <c r="AS251" i="3"/>
  <c r="AQ251" i="3"/>
  <c r="AO251" i="3"/>
  <c r="AL251" i="3"/>
  <c r="AJ251" i="3"/>
  <c r="AH251" i="3"/>
  <c r="AF251" i="3"/>
  <c r="AE251" i="3"/>
  <c r="BD241" i="3"/>
  <c r="BC241" i="3"/>
  <c r="DC240" i="3"/>
  <c r="DA240" i="3"/>
  <c r="CW240" i="3"/>
  <c r="CU240" i="3"/>
  <c r="CS240" i="3"/>
  <c r="CQ240" i="3"/>
  <c r="CN240" i="3"/>
  <c r="CK240" i="3"/>
  <c r="CJ240" i="3"/>
  <c r="CH240" i="3"/>
  <c r="CG240" i="3"/>
  <c r="CB240" i="3"/>
  <c r="CA240" i="3"/>
  <c r="BX240" i="3"/>
  <c r="BV240" i="3"/>
  <c r="BT240" i="3"/>
  <c r="BR240" i="3"/>
  <c r="BQ240" i="3"/>
  <c r="BO240" i="3"/>
  <c r="BL240" i="3"/>
  <c r="BJ240" i="3"/>
  <c r="BH240" i="3"/>
  <c r="BF240" i="3"/>
  <c r="AZ240" i="3"/>
  <c r="AY240" i="3"/>
  <c r="AX240" i="3"/>
  <c r="AV240" i="3"/>
  <c r="AU240" i="3"/>
  <c r="AS240" i="3"/>
  <c r="AQ240" i="3"/>
  <c r="AN240" i="3"/>
  <c r="AL240" i="3"/>
  <c r="AJ240" i="3"/>
  <c r="AI240" i="3"/>
  <c r="AH240" i="3"/>
  <c r="AF240" i="3"/>
  <c r="DE239" i="3"/>
  <c r="CD239" i="3"/>
  <c r="CG232" i="3"/>
  <c r="BF232" i="3"/>
  <c r="AX232" i="3"/>
  <c r="AT232" i="3"/>
  <c r="AS232" i="3"/>
  <c r="AR232" i="3"/>
  <c r="AQ232" i="3"/>
  <c r="AP232" i="3"/>
  <c r="AO232" i="3"/>
  <c r="AN232" i="3"/>
  <c r="AM232" i="3"/>
  <c r="AL232" i="3"/>
  <c r="AK232" i="3"/>
  <c r="AJ232" i="3"/>
  <c r="AI232" i="3"/>
  <c r="AH232" i="3"/>
  <c r="AG232" i="3"/>
  <c r="AF232" i="3"/>
  <c r="AE232" i="3"/>
  <c r="BC232" i="3" s="1"/>
  <c r="DF231" i="3"/>
  <c r="DE231" i="3"/>
  <c r="CE231" i="3"/>
  <c r="CD231" i="3"/>
  <c r="BD231" i="3"/>
  <c r="BC231" i="3"/>
  <c r="BC230" i="3"/>
  <c r="CG229" i="3"/>
  <c r="BF229" i="3"/>
  <c r="AE229" i="3"/>
  <c r="DF228" i="3"/>
  <c r="DE228" i="3"/>
  <c r="CE228" i="3"/>
  <c r="CD228" i="3"/>
  <c r="BD228" i="3"/>
  <c r="BC228" i="3"/>
  <c r="BD207" i="3"/>
  <c r="DF206" i="3"/>
  <c r="DE206" i="3"/>
  <c r="BD206" i="3"/>
  <c r="CE205" i="3"/>
  <c r="DF204" i="3"/>
  <c r="DE204" i="3"/>
  <c r="DB232" i="3" l="1"/>
  <c r="DA232" i="3"/>
  <c r="CY232" i="3"/>
  <c r="CV232" i="3"/>
  <c r="CT232" i="3"/>
  <c r="CQ232" i="3"/>
  <c r="CP232" i="3"/>
  <c r="CN232" i="3"/>
  <c r="CK232" i="3"/>
  <c r="CI232" i="3"/>
  <c r="CH232" i="3"/>
  <c r="CC232" i="3"/>
  <c r="CA232" i="3"/>
  <c r="BZ232" i="3"/>
  <c r="BX232" i="3"/>
  <c r="BU232" i="3"/>
  <c r="BS232" i="3"/>
  <c r="BR232" i="3"/>
  <c r="BP232" i="3"/>
  <c r="BM232" i="3"/>
  <c r="BK232" i="3"/>
  <c r="BI232" i="3"/>
  <c r="BB232" i="3"/>
  <c r="CE230" i="3"/>
  <c r="CD230" i="3"/>
  <c r="BD230" i="3"/>
  <c r="CS232" i="3"/>
  <c r="CR232" i="3"/>
  <c r="CL232" i="3"/>
  <c r="CB232" i="3"/>
  <c r="BQ232" i="3"/>
  <c r="BO232" i="3"/>
  <c r="BG232" i="3"/>
  <c r="BA232" i="3"/>
  <c r="DE230" i="3"/>
  <c r="CW232" i="3"/>
  <c r="CM232" i="3"/>
  <c r="CJ232" i="3"/>
  <c r="BW232" i="3"/>
  <c r="BT232" i="3"/>
  <c r="BN232" i="3"/>
  <c r="BJ232" i="3"/>
  <c r="BH232" i="3"/>
  <c r="CO232" i="3"/>
  <c r="BV232" i="3"/>
  <c r="CU232" i="3"/>
  <c r="CX232" i="3"/>
  <c r="CZ232" i="3"/>
  <c r="BY232" i="3"/>
  <c r="BL232" i="3"/>
  <c r="DD232" i="3"/>
  <c r="DF230" i="3"/>
  <c r="DC232" i="3"/>
  <c r="CG279" i="3"/>
  <c r="CE240" i="1"/>
  <c r="CG276" i="3"/>
  <c r="CD240" i="1"/>
  <c r="DD232" i="1"/>
  <c r="DC232" i="1"/>
  <c r="DB232" i="1"/>
  <c r="DA232" i="1"/>
  <c r="CZ232" i="1"/>
  <c r="CY232" i="1"/>
  <c r="CX232" i="1"/>
  <c r="CW232" i="1"/>
  <c r="CV232" i="1"/>
  <c r="CU232" i="1"/>
  <c r="CT232" i="1"/>
  <c r="CS232" i="1"/>
  <c r="CR232" i="1"/>
  <c r="CQ232" i="1"/>
  <c r="CP232" i="1"/>
  <c r="CO232" i="1"/>
  <c r="CN232" i="1"/>
  <c r="CM232" i="1"/>
  <c r="CL232" i="1"/>
  <c r="CK232" i="1"/>
  <c r="CJ232" i="1"/>
  <c r="CI232" i="1"/>
  <c r="CH232" i="1"/>
  <c r="DE232" i="1" s="1"/>
  <c r="CC232" i="1"/>
  <c r="CB232" i="1"/>
  <c r="CA232" i="1"/>
  <c r="BZ232" i="1"/>
  <c r="BY232" i="1"/>
  <c r="BX232" i="1"/>
  <c r="BW232" i="1"/>
  <c r="BV232" i="1"/>
  <c r="BU232" i="1"/>
  <c r="BT232" i="1"/>
  <c r="BS232" i="1"/>
  <c r="BR232" i="1"/>
  <c r="BQ232" i="1"/>
  <c r="BP232" i="1"/>
  <c r="BO232" i="1"/>
  <c r="BN232" i="1"/>
  <c r="BM232" i="1"/>
  <c r="BL232" i="1"/>
  <c r="BK232" i="1"/>
  <c r="BJ232" i="1"/>
  <c r="BI232" i="1"/>
  <c r="BH232" i="1"/>
  <c r="BG232" i="1"/>
  <c r="BB232" i="1"/>
  <c r="Z88" i="1" s="1"/>
  <c r="BA232" i="1"/>
  <c r="Y88" i="1" s="1"/>
  <c r="AZ232" i="1"/>
  <c r="X88" i="1" s="1"/>
  <c r="AY232" i="1"/>
  <c r="W88" i="1" s="1"/>
  <c r="AX232" i="1"/>
  <c r="AW232" i="1"/>
  <c r="AV232" i="1"/>
  <c r="AU232" i="1"/>
  <c r="AT232" i="1"/>
  <c r="AS232" i="1"/>
  <c r="AR232" i="1"/>
  <c r="AQ232" i="1"/>
  <c r="AP232" i="1"/>
  <c r="AO232" i="1"/>
  <c r="AN232" i="1"/>
  <c r="AM232" i="1"/>
  <c r="AL232" i="1"/>
  <c r="DF230" i="1"/>
  <c r="DE230" i="1"/>
  <c r="CE230" i="1"/>
  <c r="CD230" i="1"/>
  <c r="BD230" i="1"/>
  <c r="BC230" i="1"/>
  <c r="D49" i="3"/>
  <c r="H49" i="3"/>
  <c r="J49" i="3"/>
  <c r="M49" i="3"/>
  <c r="O49" i="3"/>
  <c r="Q49" i="3"/>
  <c r="T49" i="3"/>
  <c r="W49" i="3"/>
  <c r="Z49" i="3"/>
  <c r="I49" i="3"/>
  <c r="E49" i="3"/>
  <c r="K49" i="3"/>
  <c r="N49" i="3"/>
  <c r="P49" i="3"/>
  <c r="S49" i="3"/>
  <c r="U49" i="3"/>
  <c r="Y49" i="3"/>
  <c r="C49" i="3"/>
  <c r="G49" i="3"/>
  <c r="L49" i="3"/>
  <c r="R49" i="3"/>
  <c r="X49" i="3"/>
  <c r="F49" i="3"/>
  <c r="V49" i="3"/>
  <c r="O149" i="3"/>
  <c r="O148" i="3"/>
  <c r="BD240" i="1"/>
  <c r="DD229" i="3"/>
  <c r="DB229" i="3"/>
  <c r="CZ229" i="3"/>
  <c r="V88" i="1"/>
  <c r="U88" i="1"/>
  <c r="T88" i="1"/>
  <c r="S88" i="1"/>
  <c r="CX229" i="3"/>
  <c r="R88" i="1"/>
  <c r="Q88" i="1"/>
  <c r="CV229" i="3"/>
  <c r="CT229" i="3"/>
  <c r="CR229" i="3"/>
  <c r="CP229" i="3"/>
  <c r="CN229" i="3"/>
  <c r="I88" i="1"/>
  <c r="H88" i="1"/>
  <c r="F88" i="1"/>
  <c r="CL229" i="3"/>
  <c r="CH229" i="3"/>
  <c r="E88" i="1"/>
  <c r="D88" i="1"/>
  <c r="C88" i="1"/>
  <c r="Z87" i="1"/>
  <c r="Y87" i="1"/>
  <c r="X87" i="1"/>
  <c r="W87" i="1"/>
  <c r="CD245" i="3"/>
  <c r="V87" i="1"/>
  <c r="U87" i="1"/>
  <c r="T87" i="1"/>
  <c r="S87" i="1"/>
  <c r="R87" i="1"/>
  <c r="Q87" i="1"/>
  <c r="P87" i="1"/>
  <c r="AC71" i="1"/>
  <c r="AC70" i="1"/>
  <c r="AC63" i="1"/>
  <c r="AC62" i="1"/>
  <c r="O87" i="1"/>
  <c r="N87" i="1"/>
  <c r="J87" i="1"/>
  <c r="I87" i="1"/>
  <c r="H87" i="1"/>
  <c r="G87" i="1"/>
  <c r="F87" i="1"/>
  <c r="E87" i="1"/>
  <c r="D87" i="1"/>
  <c r="C87" i="1"/>
  <c r="AC69" i="1"/>
  <c r="DD200" i="3"/>
  <c r="DD225" i="3" s="1"/>
  <c r="DB200" i="3"/>
  <c r="DB225" i="3" s="1"/>
  <c r="M87" i="1"/>
  <c r="L87" i="1"/>
  <c r="K87" i="1"/>
  <c r="AC56" i="1"/>
  <c r="AC55" i="1"/>
  <c r="AC54" i="1"/>
  <c r="AC53" i="1"/>
  <c r="Z57" i="1"/>
  <c r="X57" i="1"/>
  <c r="V57" i="1"/>
  <c r="T57" i="1"/>
  <c r="R57" i="1"/>
  <c r="P57" i="1"/>
  <c r="AC52" i="1"/>
  <c r="Y57" i="1"/>
  <c r="W57" i="1"/>
  <c r="U57" i="1"/>
  <c r="S57" i="1"/>
  <c r="Q57" i="1"/>
  <c r="O57" i="1"/>
  <c r="BD193" i="3"/>
  <c r="CD194" i="1"/>
  <c r="DC229" i="3"/>
  <c r="DA229" i="3"/>
  <c r="CY229" i="3"/>
  <c r="CW229" i="3"/>
  <c r="CU229" i="3"/>
  <c r="CS229" i="3"/>
  <c r="CQ229" i="3"/>
  <c r="CO229" i="3"/>
  <c r="CM229" i="3"/>
  <c r="CK229" i="3"/>
  <c r="CJ229" i="3"/>
  <c r="CI229" i="3"/>
  <c r="DF227" i="3"/>
  <c r="DE227" i="3"/>
  <c r="O107" i="1"/>
  <c r="X107" i="1"/>
  <c r="L107" i="1"/>
  <c r="F107" i="1"/>
  <c r="V107" i="1"/>
  <c r="AN200" i="3"/>
  <c r="AN225" i="3" s="1"/>
  <c r="AL200" i="3"/>
  <c r="AL225" i="3" s="1"/>
  <c r="AJ200" i="3"/>
  <c r="AJ225" i="3" s="1"/>
  <c r="AH200" i="3"/>
  <c r="AH225" i="3" s="1"/>
  <c r="AF200" i="3"/>
  <c r="AF225" i="3" s="1"/>
  <c r="T107" i="1"/>
  <c r="J107" i="1"/>
  <c r="D107" i="1"/>
  <c r="H107" i="1"/>
  <c r="CC229" i="3"/>
  <c r="CB229" i="3"/>
  <c r="BZ229" i="3"/>
  <c r="BY229" i="3"/>
  <c r="BW229" i="3"/>
  <c r="BU229" i="3"/>
  <c r="CE203" i="3"/>
  <c r="Z68" i="3"/>
  <c r="Y68" i="3"/>
  <c r="X68" i="3"/>
  <c r="W68" i="3"/>
  <c r="V68" i="3"/>
  <c r="U68" i="3"/>
  <c r="T68" i="3"/>
  <c r="S68" i="3"/>
  <c r="R68" i="3"/>
  <c r="Q68" i="3"/>
  <c r="P68" i="3"/>
  <c r="O68" i="3"/>
  <c r="N68" i="3"/>
  <c r="M68" i="3"/>
  <c r="L68" i="3"/>
  <c r="K68" i="3"/>
  <c r="J68" i="3"/>
  <c r="I68" i="3"/>
  <c r="H68" i="3"/>
  <c r="G68" i="3"/>
  <c r="F68" i="3"/>
  <c r="E68" i="3"/>
  <c r="D68" i="3"/>
  <c r="C68" i="3"/>
  <c r="AC60" i="1"/>
  <c r="X59" i="1"/>
  <c r="W59" i="1"/>
  <c r="U59" i="1"/>
  <c r="T59" i="1"/>
  <c r="R59" i="1"/>
  <c r="Q59" i="1"/>
  <c r="P59" i="1"/>
  <c r="Z59" i="1"/>
  <c r="Z99" i="1"/>
  <c r="Y99" i="1"/>
  <c r="X99" i="1"/>
  <c r="W99" i="1"/>
  <c r="V99" i="1"/>
  <c r="U99" i="1"/>
  <c r="T99" i="1"/>
  <c r="S99" i="1"/>
  <c r="R99" i="1"/>
  <c r="Q99" i="1"/>
  <c r="P99" i="1"/>
  <c r="O99" i="1"/>
  <c r="AC98" i="1"/>
  <c r="AC97" i="1"/>
  <c r="AC96" i="1"/>
  <c r="AC95" i="1"/>
  <c r="Z93" i="1"/>
  <c r="Y93" i="1"/>
  <c r="X93" i="1"/>
  <c r="W93" i="1"/>
  <c r="V93" i="1"/>
  <c r="U93" i="1"/>
  <c r="T93" i="1"/>
  <c r="S93" i="1"/>
  <c r="R93" i="1"/>
  <c r="Q93" i="1"/>
  <c r="P93" i="1"/>
  <c r="O93" i="1"/>
  <c r="AC92" i="1"/>
  <c r="AC84" i="1"/>
  <c r="Z68" i="1"/>
  <c r="X68" i="1"/>
  <c r="W68" i="1"/>
  <c r="V68" i="1"/>
  <c r="T68" i="1"/>
  <c r="S68" i="1"/>
  <c r="R68" i="1"/>
  <c r="P68" i="1"/>
  <c r="O68" i="1"/>
  <c r="AC76" i="1"/>
  <c r="AC72" i="1"/>
  <c r="Y68" i="1"/>
  <c r="U68" i="1"/>
  <c r="Q68" i="1"/>
  <c r="AC61" i="1"/>
  <c r="Y59" i="1"/>
  <c r="V59" i="1"/>
  <c r="S59" i="1"/>
  <c r="O59" i="1"/>
  <c r="BD258" i="1"/>
  <c r="AC113" i="1" s="1"/>
  <c r="Z113" i="1"/>
  <c r="BD251" i="1"/>
  <c r="AC107" i="1" s="1"/>
  <c r="Z107" i="1"/>
  <c r="BD229" i="1"/>
  <c r="AC87" i="1" s="1"/>
  <c r="DD210" i="3"/>
  <c r="DC210" i="3"/>
  <c r="DB210" i="3"/>
  <c r="DA210" i="3"/>
  <c r="CZ210" i="3"/>
  <c r="CY210" i="3"/>
  <c r="T57" i="3"/>
  <c r="S57" i="3"/>
  <c r="R57" i="3"/>
  <c r="N57" i="3"/>
  <c r="L57" i="3"/>
  <c r="J57" i="3"/>
  <c r="H57" i="3"/>
  <c r="F57" i="3"/>
  <c r="D57" i="3"/>
  <c r="AC56" i="3"/>
  <c r="CD203" i="3"/>
  <c r="BD195" i="1"/>
  <c r="BC240" i="1"/>
  <c r="DF194" i="1"/>
  <c r="CE245" i="3"/>
  <c r="CW200" i="1"/>
  <c r="CW225" i="1" s="1"/>
  <c r="CV200" i="1"/>
  <c r="CV225" i="1" s="1"/>
  <c r="CU200" i="1"/>
  <c r="CU225" i="1" s="1"/>
  <c r="CT200" i="1"/>
  <c r="CT225" i="1" s="1"/>
  <c r="CR200" i="1"/>
  <c r="CR225" i="1" s="1"/>
  <c r="CP200" i="1"/>
  <c r="CP225" i="1" s="1"/>
  <c r="CO200" i="1"/>
  <c r="CO225" i="1" s="1"/>
  <c r="CN200" i="1"/>
  <c r="CN225" i="1" s="1"/>
  <c r="CM200" i="1"/>
  <c r="CM225" i="1" s="1"/>
  <c r="CL200" i="1"/>
  <c r="CL225" i="1" s="1"/>
  <c r="CK200" i="1"/>
  <c r="CK225" i="1" s="1"/>
  <c r="CJ200" i="1"/>
  <c r="CJ225" i="1" s="1"/>
  <c r="CI200" i="1"/>
  <c r="CI225" i="1" s="1"/>
  <c r="CH200" i="1"/>
  <c r="CH225" i="1" s="1"/>
  <c r="CC200" i="1"/>
  <c r="CC225" i="1" s="1"/>
  <c r="CB200" i="1"/>
  <c r="CB225" i="1" s="1"/>
  <c r="CA200" i="1"/>
  <c r="CA225" i="1" s="1"/>
  <c r="BZ200" i="1"/>
  <c r="BZ225" i="1" s="1"/>
  <c r="BY200" i="1"/>
  <c r="BY225" i="1" s="1"/>
  <c r="BX200" i="1"/>
  <c r="BX225" i="1" s="1"/>
  <c r="BW200" i="1"/>
  <c r="BW225" i="1" s="1"/>
  <c r="BV200" i="1"/>
  <c r="BV225" i="1" s="1"/>
  <c r="BU200" i="1"/>
  <c r="BU225" i="1" s="1"/>
  <c r="BT200" i="1"/>
  <c r="BT225" i="1" s="1"/>
  <c r="W163" i="3"/>
  <c r="BC193" i="1"/>
  <c r="BW200" i="3"/>
  <c r="BW225" i="3" s="1"/>
  <c r="CX210" i="3"/>
  <c r="CW210" i="3"/>
  <c r="CV210" i="3"/>
  <c r="CU210" i="3"/>
  <c r="CT210" i="3"/>
  <c r="CS210" i="3"/>
  <c r="CR210" i="3"/>
  <c r="CQ210" i="3"/>
  <c r="CP210" i="3"/>
  <c r="CO210" i="3"/>
  <c r="CN210" i="3"/>
  <c r="CM210" i="3"/>
  <c r="CL210" i="3"/>
  <c r="CK210" i="3"/>
  <c r="CJ210" i="3"/>
  <c r="CI210" i="3"/>
  <c r="CH210" i="3"/>
  <c r="CG210" i="3"/>
  <c r="CC210" i="3"/>
  <c r="CB210" i="3"/>
  <c r="CA210" i="3"/>
  <c r="BZ210" i="3"/>
  <c r="BY210" i="3"/>
  <c r="BX210" i="3"/>
  <c r="BW210" i="3"/>
  <c r="BV210" i="3"/>
  <c r="BU210" i="3"/>
  <c r="BT210" i="3"/>
  <c r="BS210" i="3"/>
  <c r="BR210" i="3"/>
  <c r="BQ210" i="3"/>
  <c r="BP210" i="3"/>
  <c r="BO210" i="3"/>
  <c r="BN210" i="3"/>
  <c r="BM210" i="3"/>
  <c r="BL210" i="3"/>
  <c r="BK210" i="3"/>
  <c r="BJ210" i="3"/>
  <c r="BI210" i="3"/>
  <c r="BH210" i="3"/>
  <c r="BG210" i="3"/>
  <c r="BF210" i="3"/>
  <c r="BB210" i="3"/>
  <c r="BA210" i="3"/>
  <c r="AZ210" i="3"/>
  <c r="AY210" i="3"/>
  <c r="AX210" i="3"/>
  <c r="AW210" i="3"/>
  <c r="AV210" i="3"/>
  <c r="AU210" i="3"/>
  <c r="AT210" i="3"/>
  <c r="AS210" i="3"/>
  <c r="AR210" i="3"/>
  <c r="AQ210" i="3"/>
  <c r="AP210" i="3"/>
  <c r="AO210" i="3"/>
  <c r="AN210" i="3"/>
  <c r="AM210" i="3"/>
  <c r="AL210" i="3"/>
  <c r="AK210" i="3"/>
  <c r="AJ210" i="3"/>
  <c r="AI210" i="3"/>
  <c r="AH210" i="3"/>
  <c r="AG210" i="3"/>
  <c r="AF210" i="3"/>
  <c r="AE210" i="3"/>
  <c r="DF203" i="3"/>
  <c r="DE203" i="3"/>
  <c r="BD203" i="3"/>
  <c r="BC203" i="3"/>
  <c r="AB71" i="3"/>
  <c r="AC70" i="3"/>
  <c r="AB70" i="3"/>
  <c r="DE195" i="1"/>
  <c r="CE195" i="1"/>
  <c r="BD193" i="1"/>
  <c r="BS200" i="1"/>
  <c r="BS225" i="1" s="1"/>
  <c r="BQ200" i="1"/>
  <c r="BQ225" i="1" s="1"/>
  <c r="BP200" i="1"/>
  <c r="BP225" i="1" s="1"/>
  <c r="BO200" i="1"/>
  <c r="BO225" i="1" s="1"/>
  <c r="BN200" i="1"/>
  <c r="BN225" i="1" s="1"/>
  <c r="BM200" i="1"/>
  <c r="BM225" i="1" s="1"/>
  <c r="BL200" i="1"/>
  <c r="BL225" i="1" s="1"/>
  <c r="BK200" i="1"/>
  <c r="BK225" i="1" s="1"/>
  <c r="BJ200" i="1"/>
  <c r="BJ225" i="1" s="1"/>
  <c r="BI200" i="1"/>
  <c r="BI225" i="1" s="1"/>
  <c r="BH200" i="1"/>
  <c r="BH225" i="1" s="1"/>
  <c r="BD192" i="1"/>
  <c r="BG200" i="1"/>
  <c r="BG225" i="1" s="1"/>
  <c r="BB200" i="1"/>
  <c r="BA200" i="1"/>
  <c r="AZ200" i="1"/>
  <c r="AY200" i="1"/>
  <c r="AX200" i="1"/>
  <c r="AW200" i="1"/>
  <c r="AV200" i="1"/>
  <c r="AV225" i="1" s="1"/>
  <c r="AT200" i="1"/>
  <c r="AT225" i="1" s="1"/>
  <c r="AS200" i="1"/>
  <c r="AS225" i="1" s="1"/>
  <c r="AR200" i="1"/>
  <c r="AR225" i="1" s="1"/>
  <c r="AP200" i="1"/>
  <c r="AP225" i="1" s="1"/>
  <c r="AO200" i="1"/>
  <c r="AO225" i="1" s="1"/>
  <c r="AN200" i="1"/>
  <c r="AN225" i="1" s="1"/>
  <c r="AM200" i="1"/>
  <c r="AM225" i="1" s="1"/>
  <c r="AL200" i="1"/>
  <c r="AL225" i="1" s="1"/>
  <c r="AK200" i="1"/>
  <c r="AK225" i="1" s="1"/>
  <c r="AJ200" i="1"/>
  <c r="AJ225" i="1" s="1"/>
  <c r="AI200" i="1"/>
  <c r="AI225" i="1" s="1"/>
  <c r="AH200" i="1"/>
  <c r="AH225" i="1" s="1"/>
  <c r="AG200" i="1"/>
  <c r="AG225" i="1" s="1"/>
  <c r="AF200" i="1"/>
  <c r="AF225" i="1" s="1"/>
  <c r="O149" i="1"/>
  <c r="O148" i="1"/>
  <c r="DB210" i="1"/>
  <c r="CE240" i="3"/>
  <c r="CD240" i="3"/>
  <c r="BV229" i="3"/>
  <c r="BS229" i="3"/>
  <c r="BQ229" i="3"/>
  <c r="BN229" i="3"/>
  <c r="BG229" i="3"/>
  <c r="BA229" i="3"/>
  <c r="AY229" i="3"/>
  <c r="AW229" i="3"/>
  <c r="AT229" i="3"/>
  <c r="AR229" i="3"/>
  <c r="AO229" i="3"/>
  <c r="AM229" i="3"/>
  <c r="AH229" i="3"/>
  <c r="AF229" i="3"/>
  <c r="BD227" i="3"/>
  <c r="BC227" i="3"/>
  <c r="DF192" i="1"/>
  <c r="DD210" i="1"/>
  <c r="CX210" i="1"/>
  <c r="CV210" i="1"/>
  <c r="CW210" i="1"/>
  <c r="CT210" i="1"/>
  <c r="DE240" i="3"/>
  <c r="BX229" i="3"/>
  <c r="BT229" i="3"/>
  <c r="BR229" i="3"/>
  <c r="BP229" i="3"/>
  <c r="BL229" i="3"/>
  <c r="BJ229" i="3"/>
  <c r="BH229" i="3"/>
  <c r="AQ229" i="3"/>
  <c r="AK229" i="3"/>
  <c r="AI229" i="3"/>
  <c r="AG229" i="3"/>
  <c r="CD227" i="3"/>
  <c r="CA229" i="3"/>
  <c r="BO229" i="3"/>
  <c r="BM229" i="3"/>
  <c r="BK229" i="3"/>
  <c r="BI229" i="3"/>
  <c r="BB229" i="3"/>
  <c r="AZ229" i="3"/>
  <c r="AX229" i="3"/>
  <c r="AV229" i="3"/>
  <c r="AU229" i="3"/>
  <c r="AS229" i="3"/>
  <c r="AP229" i="3"/>
  <c r="AN229" i="3"/>
  <c r="AL229" i="3"/>
  <c r="AJ229" i="3"/>
  <c r="CE227" i="3"/>
  <c r="AC53" i="3"/>
  <c r="AB53" i="3"/>
  <c r="CU210" i="1"/>
  <c r="CR210" i="1"/>
  <c r="CN210" i="1"/>
  <c r="CI210" i="1"/>
  <c r="CH210" i="1"/>
  <c r="CB210" i="1"/>
  <c r="BZ210" i="1"/>
  <c r="BY210" i="1"/>
  <c r="BX210" i="1"/>
  <c r="BW210" i="1"/>
  <c r="BV210" i="1"/>
  <c r="BU210" i="1"/>
  <c r="BT210" i="1"/>
  <c r="BP210" i="1"/>
  <c r="BN210" i="1"/>
  <c r="BK210" i="1"/>
  <c r="BJ210" i="1"/>
  <c r="BI210" i="1"/>
  <c r="BH210" i="1"/>
  <c r="BB210" i="1"/>
  <c r="AZ210" i="1"/>
  <c r="AX210" i="1"/>
  <c r="AT210" i="1"/>
  <c r="R73" i="1" s="1"/>
  <c r="AS210" i="1"/>
  <c r="Q73" i="1" s="1"/>
  <c r="AR210" i="1"/>
  <c r="AQ210" i="1"/>
  <c r="AP210" i="1"/>
  <c r="AO210" i="1"/>
  <c r="AN210" i="1"/>
  <c r="AM210" i="1"/>
  <c r="AK210" i="1"/>
  <c r="AJ210" i="1"/>
  <c r="AH210" i="1"/>
  <c r="AG210" i="1"/>
  <c r="AE210" i="1"/>
  <c r="CP210" i="1"/>
  <c r="CO210" i="1"/>
  <c r="CM210" i="1"/>
  <c r="CL210" i="1"/>
  <c r="CK210" i="1"/>
  <c r="CJ210" i="1"/>
  <c r="CA210" i="1"/>
  <c r="BS210" i="1"/>
  <c r="BQ210" i="1"/>
  <c r="BO210" i="1"/>
  <c r="BG210" i="1"/>
  <c r="BF210" i="1"/>
  <c r="BA210" i="1"/>
  <c r="AW210" i="1"/>
  <c r="AV210" i="1"/>
  <c r="T73" i="1" s="1"/>
  <c r="AU210" i="1"/>
  <c r="S73" i="1" s="1"/>
  <c r="AL210" i="1"/>
  <c r="AF210" i="1"/>
  <c r="CD193" i="3"/>
  <c r="CE194" i="1"/>
  <c r="BC194" i="1"/>
  <c r="CQ200" i="1"/>
  <c r="CQ225" i="1" s="1"/>
  <c r="CH215" i="3"/>
  <c r="C116" i="3"/>
  <c r="AC113" i="3"/>
  <c r="AB113" i="3"/>
  <c r="Z113" i="3"/>
  <c r="Y113" i="3"/>
  <c r="X113" i="3"/>
  <c r="N68" i="1"/>
  <c r="M68" i="1"/>
  <c r="L68" i="1"/>
  <c r="K68" i="1"/>
  <c r="J68" i="1"/>
  <c r="I68" i="1"/>
  <c r="H68" i="1"/>
  <c r="G68" i="1"/>
  <c r="F68" i="1"/>
  <c r="E68" i="1"/>
  <c r="D68" i="1"/>
  <c r="C68" i="1"/>
  <c r="CE193" i="1"/>
  <c r="BC192" i="1"/>
  <c r="CD193" i="1"/>
  <c r="CE192" i="1"/>
  <c r="BD194" i="1"/>
  <c r="AU200" i="1"/>
  <c r="DF240" i="1"/>
  <c r="W113" i="3"/>
  <c r="V113" i="3"/>
  <c r="U113" i="3"/>
  <c r="T113" i="3"/>
  <c r="S113" i="3"/>
  <c r="R113" i="3"/>
  <c r="Q113" i="3"/>
  <c r="DE194" i="1"/>
  <c r="P113" i="3"/>
  <c r="O113" i="3"/>
  <c r="N113" i="3"/>
  <c r="M113" i="3"/>
  <c r="L113" i="3"/>
  <c r="K113" i="3"/>
  <c r="J113" i="3"/>
  <c r="I113" i="3"/>
  <c r="H113" i="3"/>
  <c r="G113" i="3"/>
  <c r="F113" i="3"/>
  <c r="CD192" i="1"/>
  <c r="CX200" i="1"/>
  <c r="CX225" i="1" s="1"/>
  <c r="DC200" i="3"/>
  <c r="DC225" i="3" s="1"/>
  <c r="W163" i="1"/>
  <c r="E113" i="3"/>
  <c r="D113" i="3"/>
  <c r="C113" i="3"/>
  <c r="AC107" i="3"/>
  <c r="AB107" i="3"/>
  <c r="Z107" i="3"/>
  <c r="Y107" i="3"/>
  <c r="X107" i="3"/>
  <c r="AC62" i="3"/>
  <c r="AB62" i="3"/>
  <c r="AC61" i="3"/>
  <c r="AB61" i="3"/>
  <c r="AC60" i="3"/>
  <c r="AB60" i="3"/>
  <c r="DF193" i="1"/>
  <c r="DE193" i="1"/>
  <c r="DE192" i="1"/>
  <c r="DA200" i="3"/>
  <c r="DA225" i="3" s="1"/>
  <c r="BT200" i="3"/>
  <c r="BT225" i="3" s="1"/>
  <c r="BP200" i="3"/>
  <c r="BP225" i="3" s="1"/>
  <c r="BN200" i="3"/>
  <c r="BN225" i="3" s="1"/>
  <c r="BL200" i="3"/>
  <c r="BL225" i="3" s="1"/>
  <c r="BJ200" i="3"/>
  <c r="BJ225" i="3" s="1"/>
  <c r="BH200" i="3"/>
  <c r="BH225" i="3" s="1"/>
  <c r="BA200" i="3"/>
  <c r="BA225" i="3" s="1"/>
  <c r="AO200" i="3"/>
  <c r="AO225" i="3" s="1"/>
  <c r="AM200" i="3"/>
  <c r="AM225" i="3" s="1"/>
  <c r="AK200" i="3"/>
  <c r="AK225" i="3" s="1"/>
  <c r="W107" i="3"/>
  <c r="U107" i="3"/>
  <c r="T107" i="3"/>
  <c r="R107" i="3"/>
  <c r="P107" i="3"/>
  <c r="N107" i="3"/>
  <c r="L107" i="3"/>
  <c r="K107" i="3"/>
  <c r="I107" i="3"/>
  <c r="G107" i="3"/>
  <c r="E107" i="3"/>
  <c r="AC69" i="3"/>
  <c r="AB69" i="3"/>
  <c r="Y57" i="3"/>
  <c r="W57" i="3"/>
  <c r="V57" i="3"/>
  <c r="U57" i="3"/>
  <c r="P57" i="3"/>
  <c r="DC210" i="1"/>
  <c r="DA210" i="1"/>
  <c r="CZ210" i="1"/>
  <c r="CY210" i="1"/>
  <c r="CS210" i="1"/>
  <c r="CQ210" i="1"/>
  <c r="CG210" i="1"/>
  <c r="CC210" i="1"/>
  <c r="BR210" i="1"/>
  <c r="BM210" i="1"/>
  <c r="BL210" i="1"/>
  <c r="AY210" i="1"/>
  <c r="AI210" i="1"/>
  <c r="DF203" i="1"/>
  <c r="DE203" i="1"/>
  <c r="CE203" i="1"/>
  <c r="CD203" i="1"/>
  <c r="BD203" i="1"/>
  <c r="AC68" i="1" s="1"/>
  <c r="BC203" i="1"/>
  <c r="N99" i="1"/>
  <c r="M99" i="1"/>
  <c r="L99" i="1"/>
  <c r="K99" i="1"/>
  <c r="J99" i="1"/>
  <c r="I99" i="1"/>
  <c r="H99" i="1"/>
  <c r="G99" i="1"/>
  <c r="F99" i="1"/>
  <c r="E99" i="1"/>
  <c r="D99" i="1"/>
  <c r="C99" i="1"/>
  <c r="AB98" i="1"/>
  <c r="AB97" i="1"/>
  <c r="AB96" i="1"/>
  <c r="AB95" i="1"/>
  <c r="N93" i="1"/>
  <c r="M93" i="1"/>
  <c r="L93" i="1"/>
  <c r="K93" i="1"/>
  <c r="J93" i="1"/>
  <c r="I93" i="1"/>
  <c r="H93" i="1"/>
  <c r="G93" i="1"/>
  <c r="F93" i="1"/>
  <c r="E93" i="1"/>
  <c r="D93" i="1"/>
  <c r="C93" i="1"/>
  <c r="AB92" i="1"/>
  <c r="DF195" i="1"/>
  <c r="DD200" i="1"/>
  <c r="DD225" i="1" s="1"/>
  <c r="DC200" i="1"/>
  <c r="DC225" i="1" s="1"/>
  <c r="DB200" i="1"/>
  <c r="DB225" i="1" s="1"/>
  <c r="DA200" i="1"/>
  <c r="DA225" i="1" s="1"/>
  <c r="CZ200" i="1"/>
  <c r="CZ225" i="1" s="1"/>
  <c r="CY200" i="1"/>
  <c r="CY225" i="1" s="1"/>
  <c r="DE245" i="3"/>
  <c r="BC245" i="3"/>
  <c r="DE195" i="3"/>
  <c r="DF194" i="3"/>
  <c r="BD194" i="3"/>
  <c r="CZ200" i="3"/>
  <c r="CZ225" i="3" s="1"/>
  <c r="CX200" i="3"/>
  <c r="CX225" i="3" s="1"/>
  <c r="CV200" i="3"/>
  <c r="CV225" i="3" s="1"/>
  <c r="CT200" i="3"/>
  <c r="CT225" i="3" s="1"/>
  <c r="CR200" i="3"/>
  <c r="CR225" i="3" s="1"/>
  <c r="CP200" i="3"/>
  <c r="CP225" i="3" s="1"/>
  <c r="CN200" i="3"/>
  <c r="CN225" i="3" s="1"/>
  <c r="CL200" i="3"/>
  <c r="CL225" i="3" s="1"/>
  <c r="CJ200" i="3"/>
  <c r="CJ225" i="3" s="1"/>
  <c r="CH200" i="3"/>
  <c r="CH225" i="3" s="1"/>
  <c r="CC200" i="3"/>
  <c r="CC225" i="3" s="1"/>
  <c r="CB200" i="3"/>
  <c r="CB225" i="3" s="1"/>
  <c r="BZ200" i="3"/>
  <c r="BZ225" i="3" s="1"/>
  <c r="BU200" i="3"/>
  <c r="BU225" i="3" s="1"/>
  <c r="BS200" i="3"/>
  <c r="BS225" i="3" s="1"/>
  <c r="BQ200" i="3"/>
  <c r="BQ225" i="3" s="1"/>
  <c r="BO200" i="3"/>
  <c r="BO225" i="3" s="1"/>
  <c r="BM200" i="3"/>
  <c r="BM225" i="3" s="1"/>
  <c r="BK200" i="3"/>
  <c r="BK225" i="3" s="1"/>
  <c r="BI200" i="3"/>
  <c r="BI225" i="3" s="1"/>
  <c r="BG200" i="3"/>
  <c r="BG225" i="3" s="1"/>
  <c r="BB200" i="3"/>
  <c r="BB225" i="3" s="1"/>
  <c r="BB257" i="3" s="1"/>
  <c r="BB275" i="3" s="1"/>
  <c r="AZ200" i="3"/>
  <c r="AZ225" i="3" s="1"/>
  <c r="AX200" i="3"/>
  <c r="AX225" i="3" s="1"/>
  <c r="AV200" i="3"/>
  <c r="AV225" i="3" s="1"/>
  <c r="AT200" i="3"/>
  <c r="AT225" i="3" s="1"/>
  <c r="AR200" i="3"/>
  <c r="AR225" i="3" s="1"/>
  <c r="AP200" i="3"/>
  <c r="AP225" i="3" s="1"/>
  <c r="V107" i="3"/>
  <c r="S107" i="3"/>
  <c r="Q107" i="3"/>
  <c r="O107" i="3"/>
  <c r="M107" i="3"/>
  <c r="J107" i="3"/>
  <c r="H107" i="3"/>
  <c r="F107" i="3"/>
  <c r="D107" i="3"/>
  <c r="C107" i="3"/>
  <c r="AC95" i="3"/>
  <c r="AB95" i="3"/>
  <c r="C57" i="3"/>
  <c r="AC55" i="3"/>
  <c r="AC54" i="3"/>
  <c r="AB54" i="3"/>
  <c r="AC52" i="3"/>
  <c r="AB61" i="1"/>
  <c r="L59" i="1"/>
  <c r="G59" i="1"/>
  <c r="D59" i="1"/>
  <c r="M57" i="1"/>
  <c r="I57" i="1"/>
  <c r="E57" i="1"/>
  <c r="AB55" i="1"/>
  <c r="Z93" i="3"/>
  <c r="Y93" i="3"/>
  <c r="X93" i="3"/>
  <c r="W93" i="3"/>
  <c r="V93" i="3"/>
  <c r="U93" i="3"/>
  <c r="T93" i="3"/>
  <c r="S93" i="3"/>
  <c r="R93" i="3"/>
  <c r="Q93" i="3"/>
  <c r="P93" i="3"/>
  <c r="O93" i="3"/>
  <c r="N93" i="3"/>
  <c r="M93" i="3"/>
  <c r="L93" i="3"/>
  <c r="K93" i="3"/>
  <c r="J93" i="3"/>
  <c r="I93" i="3"/>
  <c r="H93" i="3"/>
  <c r="G93" i="3"/>
  <c r="F93" i="3"/>
  <c r="E93" i="3"/>
  <c r="D93" i="3"/>
  <c r="C93" i="3"/>
  <c r="AC92" i="3"/>
  <c r="AB92" i="3"/>
  <c r="C88" i="3"/>
  <c r="C87" i="3"/>
  <c r="AC84" i="3"/>
  <c r="AB84" i="3"/>
  <c r="C77" i="3"/>
  <c r="AC76" i="3"/>
  <c r="AB76" i="3"/>
  <c r="AC72" i="3"/>
  <c r="AB72" i="3"/>
  <c r="AC71" i="3"/>
  <c r="Y59" i="3"/>
  <c r="M59" i="3"/>
  <c r="K59" i="3"/>
  <c r="I59" i="3"/>
  <c r="C59" i="3"/>
  <c r="Z57" i="3"/>
  <c r="X57" i="3"/>
  <c r="Q57" i="3"/>
  <c r="O57" i="3"/>
  <c r="M57" i="3"/>
  <c r="K57" i="3"/>
  <c r="I57" i="3"/>
  <c r="G57" i="3"/>
  <c r="E57" i="3"/>
  <c r="AB56" i="3"/>
  <c r="AB55" i="3"/>
  <c r="AB52" i="3"/>
  <c r="M59" i="1"/>
  <c r="H59" i="1"/>
  <c r="E59" i="1"/>
  <c r="L57" i="1"/>
  <c r="H57" i="1"/>
  <c r="D57" i="1"/>
  <c r="AP292" i="1"/>
  <c r="AO292" i="1"/>
  <c r="AN292" i="1"/>
  <c r="AM292" i="1"/>
  <c r="AL292" i="1"/>
  <c r="AK292" i="1"/>
  <c r="AJ292" i="1"/>
  <c r="AI292" i="1"/>
  <c r="AH292" i="1"/>
  <c r="AG292" i="1"/>
  <c r="AF292" i="1"/>
  <c r="AE292" i="1"/>
  <c r="DF245" i="1"/>
  <c r="CD245" i="1"/>
  <c r="BD245" i="1"/>
  <c r="BC245" i="1"/>
  <c r="N59" i="1"/>
  <c r="J59" i="1"/>
  <c r="F59" i="1"/>
  <c r="C59" i="1"/>
  <c r="N57" i="1"/>
  <c r="K57" i="1"/>
  <c r="G57" i="1"/>
  <c r="C57" i="1"/>
  <c r="AB56" i="1"/>
  <c r="AB54" i="1"/>
  <c r="DF240" i="3"/>
  <c r="AB60" i="1"/>
  <c r="I59" i="1"/>
  <c r="F57" i="1"/>
  <c r="K59" i="1"/>
  <c r="J57" i="1"/>
  <c r="BD240" i="3"/>
  <c r="CG265" i="3"/>
  <c r="CH263" i="3"/>
  <c r="CH264" i="3" s="1"/>
  <c r="BF265" i="3"/>
  <c r="BG263" i="3"/>
  <c r="BG264" i="3" s="1"/>
  <c r="AE265" i="3"/>
  <c r="AF263" i="3"/>
  <c r="AF264" i="3" s="1"/>
  <c r="BF276" i="3"/>
  <c r="BG215" i="3"/>
  <c r="AE276" i="3"/>
  <c r="AF215" i="3"/>
  <c r="BF255" i="3"/>
  <c r="BF278" i="3"/>
  <c r="BG253" i="3"/>
  <c r="BG254" i="3" s="1"/>
  <c r="CS200" i="3"/>
  <c r="CS225" i="3" s="1"/>
  <c r="DF191" i="3"/>
  <c r="DE191" i="3"/>
  <c r="CG200" i="3"/>
  <c r="CG225" i="3" s="1"/>
  <c r="BR200" i="3"/>
  <c r="BR225" i="3" s="1"/>
  <c r="CE191" i="3"/>
  <c r="CD191" i="3"/>
  <c r="BF200" i="3"/>
  <c r="BF225" i="3" s="1"/>
  <c r="AQ200" i="3"/>
  <c r="AQ225" i="3" s="1"/>
  <c r="BD191" i="3"/>
  <c r="BC191" i="3"/>
  <c r="AE200" i="3"/>
  <c r="AE225" i="3" s="1"/>
  <c r="DC222" i="3"/>
  <c r="CY222" i="3"/>
  <c r="CW222" i="3"/>
  <c r="CU222" i="3"/>
  <c r="CS222" i="3"/>
  <c r="DF190" i="3"/>
  <c r="CQ222" i="3"/>
  <c r="CO222" i="3"/>
  <c r="CM222" i="3"/>
  <c r="CK222" i="3"/>
  <c r="CI222" i="3"/>
  <c r="DE190" i="3"/>
  <c r="R42" i="3" s="1"/>
  <c r="CG222" i="3"/>
  <c r="CC222" i="3"/>
  <c r="CA222" i="3"/>
  <c r="BY222" i="3"/>
  <c r="BW222" i="3"/>
  <c r="BU222" i="3"/>
  <c r="BS222" i="3"/>
  <c r="BQ222" i="3"/>
  <c r="BJ222" i="3"/>
  <c r="BI222" i="3"/>
  <c r="BH222" i="3"/>
  <c r="BG222" i="3"/>
  <c r="BF222" i="3"/>
  <c r="CD190" i="3"/>
  <c r="K42" i="3" s="1"/>
  <c r="BB222" i="3"/>
  <c r="AZ222" i="3"/>
  <c r="AS222" i="3"/>
  <c r="BD190" i="3"/>
  <c r="AQ222" i="3"/>
  <c r="AO222" i="3"/>
  <c r="AM222" i="3"/>
  <c r="AK222" i="3"/>
  <c r="AI222" i="3"/>
  <c r="AG222" i="3"/>
  <c r="AE222" i="3"/>
  <c r="BC190" i="3"/>
  <c r="DF191" i="1"/>
  <c r="CS200" i="1"/>
  <c r="CS225" i="1" s="1"/>
  <c r="DE191" i="1"/>
  <c r="CG200" i="1"/>
  <c r="CG225" i="1" s="1"/>
  <c r="CE191" i="1"/>
  <c r="BR200" i="1"/>
  <c r="BR225" i="1" s="1"/>
  <c r="CD191" i="1"/>
  <c r="BF200" i="1"/>
  <c r="BF225" i="1" s="1"/>
  <c r="BD191" i="1"/>
  <c r="AQ200" i="1"/>
  <c r="BC191" i="1"/>
  <c r="AE200" i="1"/>
  <c r="AE225" i="1" s="1"/>
  <c r="DD222" i="1"/>
  <c r="DC222" i="1"/>
  <c r="DB222" i="1"/>
  <c r="DA222" i="1"/>
  <c r="CZ222" i="1"/>
  <c r="CY222" i="1"/>
  <c r="CX222" i="1"/>
  <c r="CW222" i="1"/>
  <c r="CV222" i="1"/>
  <c r="CU222" i="1"/>
  <c r="CT222" i="1"/>
  <c r="DF190" i="1"/>
  <c r="CS222" i="1"/>
  <c r="CR222" i="1"/>
  <c r="CQ222" i="1"/>
  <c r="CP222" i="1"/>
  <c r="CO222" i="1"/>
  <c r="CN222" i="1"/>
  <c r="CM222" i="1"/>
  <c r="CL222" i="1"/>
  <c r="CK222" i="1"/>
  <c r="CJ222" i="1"/>
  <c r="CI222" i="1"/>
  <c r="CH222" i="1"/>
  <c r="DE190" i="1"/>
  <c r="R42" i="1" s="1"/>
  <c r="CG222" i="1"/>
  <c r="CC222" i="1"/>
  <c r="CB222" i="1"/>
  <c r="CA222" i="1"/>
  <c r="BZ222" i="1"/>
  <c r="BY222" i="1"/>
  <c r="BX222" i="1"/>
  <c r="BW222" i="1"/>
  <c r="BV222" i="1"/>
  <c r="BU222" i="1"/>
  <c r="BT222" i="1"/>
  <c r="BS222" i="1"/>
  <c r="CE190" i="1"/>
  <c r="BR222" i="1"/>
  <c r="BQ222" i="1"/>
  <c r="BP222" i="1"/>
  <c r="BO222" i="1"/>
  <c r="BN222" i="1"/>
  <c r="BM222" i="1"/>
  <c r="BL222" i="1"/>
  <c r="BK222" i="1"/>
  <c r="BJ222" i="1"/>
  <c r="BI222" i="1"/>
  <c r="BH222" i="1"/>
  <c r="BG222" i="1"/>
  <c r="CD190" i="1"/>
  <c r="K42" i="1" s="1"/>
  <c r="BF222" i="1"/>
  <c r="BB222" i="1"/>
  <c r="BA222" i="1"/>
  <c r="AZ222" i="1"/>
  <c r="AY222" i="1"/>
  <c r="AX222" i="1"/>
  <c r="AW222" i="1"/>
  <c r="AV222" i="1"/>
  <c r="AU222" i="1"/>
  <c r="AT222" i="1"/>
  <c r="AS222" i="1"/>
  <c r="AR222" i="1"/>
  <c r="BD190" i="1"/>
  <c r="AC57" i="1" s="1"/>
  <c r="AQ222" i="1"/>
  <c r="AP222" i="1"/>
  <c r="AO222" i="1"/>
  <c r="AN222" i="1"/>
  <c r="AM222" i="1"/>
  <c r="AL222" i="1"/>
  <c r="AK222" i="1"/>
  <c r="AJ222" i="1"/>
  <c r="AI222" i="1"/>
  <c r="AH222" i="1"/>
  <c r="AG222" i="1"/>
  <c r="AF222" i="1"/>
  <c r="BC190" i="1"/>
  <c r="AE222" i="1"/>
  <c r="DD222" i="3"/>
  <c r="DB222" i="3"/>
  <c r="DA222" i="3"/>
  <c r="CZ222" i="3"/>
  <c r="CX222" i="3"/>
  <c r="CV222" i="3"/>
  <c r="CT222" i="3"/>
  <c r="CR222" i="3"/>
  <c r="CP222" i="3"/>
  <c r="CN222" i="3"/>
  <c r="CL222" i="3"/>
  <c r="CJ222" i="3"/>
  <c r="CH222" i="3"/>
  <c r="CB222" i="3"/>
  <c r="BZ222" i="3"/>
  <c r="BX222" i="3"/>
  <c r="BV222" i="3"/>
  <c r="BT222" i="3"/>
  <c r="CE190" i="3"/>
  <c r="BR222" i="3"/>
  <c r="BP222" i="3"/>
  <c r="BO222" i="3"/>
  <c r="BN222" i="3"/>
  <c r="BM222" i="3"/>
  <c r="BL222" i="3"/>
  <c r="BK222" i="3"/>
  <c r="BA222" i="3"/>
  <c r="AY222" i="3"/>
  <c r="AX222" i="3"/>
  <c r="AW222" i="3"/>
  <c r="AV222" i="3"/>
  <c r="AU222" i="3"/>
  <c r="AT222" i="3"/>
  <c r="AR222" i="3"/>
  <c r="AP222" i="3"/>
  <c r="AN222" i="3"/>
  <c r="AL222" i="3"/>
  <c r="AJ222" i="3"/>
  <c r="AH222" i="3"/>
  <c r="AF222" i="3"/>
  <c r="BF279" i="3"/>
  <c r="AE279" i="3"/>
  <c r="AC103" i="2"/>
  <c r="BC251" i="1"/>
  <c r="AB107" i="1" s="1"/>
  <c r="N107" i="1"/>
  <c r="CG265" i="1"/>
  <c r="CH263" i="1"/>
  <c r="CH264" i="1" s="1"/>
  <c r="BF265" i="1"/>
  <c r="BG263" i="1"/>
  <c r="BG264" i="1" s="1"/>
  <c r="AE265" i="1"/>
  <c r="AF263" i="1"/>
  <c r="AF264" i="1" s="1"/>
  <c r="CG276" i="1"/>
  <c r="CH215" i="1"/>
  <c r="BF276" i="1"/>
  <c r="BG215" i="1"/>
  <c r="AE276" i="1"/>
  <c r="C116" i="1"/>
  <c r="AF215" i="1"/>
  <c r="BC258" i="1"/>
  <c r="AB113" i="1" s="1"/>
  <c r="N113" i="1"/>
  <c r="CG255" i="1"/>
  <c r="CG278" i="1"/>
  <c r="CH253" i="1"/>
  <c r="CH254" i="1" s="1"/>
  <c r="BF255" i="1"/>
  <c r="BF278" i="1"/>
  <c r="BG253" i="1"/>
  <c r="BG254" i="1" s="1"/>
  <c r="AE255" i="1"/>
  <c r="C109" i="1" s="1"/>
  <c r="AE278" i="1"/>
  <c r="AF253" i="1"/>
  <c r="AF254" i="1" s="1"/>
  <c r="BC229" i="1"/>
  <c r="CG279" i="1"/>
  <c r="BF279" i="1"/>
  <c r="AE279" i="1"/>
  <c r="CG255" i="3"/>
  <c r="CH253" i="3"/>
  <c r="CH254" i="3" s="1"/>
  <c r="CG278" i="3"/>
  <c r="AE255" i="3"/>
  <c r="AF253" i="3"/>
  <c r="AF254" i="3" s="1"/>
  <c r="AE278" i="3"/>
  <c r="AE293" i="3"/>
  <c r="AP292" i="3"/>
  <c r="AO292" i="3"/>
  <c r="AN292" i="3"/>
  <c r="AM292" i="3"/>
  <c r="AL292" i="3"/>
  <c r="AK292" i="3"/>
  <c r="AJ292" i="3"/>
  <c r="AI292" i="3"/>
  <c r="AH292" i="3"/>
  <c r="AG292" i="3"/>
  <c r="AF292" i="3"/>
  <c r="AE292" i="3"/>
  <c r="BC240" i="3"/>
  <c r="CE195" i="3"/>
  <c r="BC194" i="3"/>
  <c r="DE192" i="3"/>
  <c r="CD192" i="3"/>
  <c r="BD192" i="3"/>
  <c r="CO200" i="3"/>
  <c r="CO225" i="3" s="1"/>
  <c r="CI200" i="3"/>
  <c r="CI225" i="3" s="1"/>
  <c r="BV200" i="3"/>
  <c r="BV225" i="3" s="1"/>
  <c r="AW200" i="3"/>
  <c r="AW225" i="3" s="1"/>
  <c r="AI200" i="3"/>
  <c r="AI225" i="3" s="1"/>
  <c r="Z99" i="3"/>
  <c r="Y99" i="3"/>
  <c r="X99" i="3"/>
  <c r="W99" i="3"/>
  <c r="V99" i="3"/>
  <c r="U99" i="3"/>
  <c r="T99" i="3"/>
  <c r="S99" i="3"/>
  <c r="R99" i="3"/>
  <c r="Q99" i="3"/>
  <c r="P99" i="3"/>
  <c r="O99" i="3"/>
  <c r="N99" i="3"/>
  <c r="M99" i="3"/>
  <c r="L99" i="3"/>
  <c r="K99" i="3"/>
  <c r="J99" i="3"/>
  <c r="I99" i="3"/>
  <c r="H99" i="3"/>
  <c r="G99" i="3"/>
  <c r="F99" i="3"/>
  <c r="E99" i="3"/>
  <c r="D99" i="3"/>
  <c r="C99" i="3"/>
  <c r="AC98" i="3"/>
  <c r="AB98" i="3"/>
  <c r="AC97" i="3"/>
  <c r="AB97" i="3"/>
  <c r="AC96" i="3"/>
  <c r="AB96" i="3"/>
  <c r="AC63" i="3"/>
  <c r="AB63" i="3"/>
  <c r="Z59" i="3"/>
  <c r="X59" i="3"/>
  <c r="W59" i="3"/>
  <c r="V59" i="3"/>
  <c r="U59" i="3"/>
  <c r="T59" i="3"/>
  <c r="S59" i="3"/>
  <c r="R59" i="3"/>
  <c r="Q59" i="3"/>
  <c r="P59" i="3"/>
  <c r="O59" i="3"/>
  <c r="N59" i="3"/>
  <c r="L59" i="3"/>
  <c r="J59" i="3"/>
  <c r="H59" i="3"/>
  <c r="G59" i="3"/>
  <c r="F59" i="3"/>
  <c r="E59" i="3"/>
  <c r="D59" i="3"/>
  <c r="DE245" i="1"/>
  <c r="CE245" i="1"/>
  <c r="AB84" i="1"/>
  <c r="C77" i="1"/>
  <c r="AB76" i="1"/>
  <c r="AB72" i="1"/>
  <c r="AB71" i="1"/>
  <c r="AB70" i="1"/>
  <c r="AB69" i="1"/>
  <c r="AB63" i="1"/>
  <c r="AB62" i="1"/>
  <c r="AE293" i="1"/>
  <c r="AB53" i="1"/>
  <c r="AB52" i="1"/>
  <c r="DF195" i="3"/>
  <c r="CD195" i="3"/>
  <c r="BD195" i="3"/>
  <c r="BC195" i="3"/>
  <c r="DE194" i="3"/>
  <c r="CE194" i="3"/>
  <c r="CD194" i="3"/>
  <c r="DF193" i="3"/>
  <c r="DE193" i="3"/>
  <c r="CE193" i="3"/>
  <c r="BC193" i="3"/>
  <c r="DF192" i="3"/>
  <c r="CE192" i="3"/>
  <c r="BC192" i="3"/>
  <c r="CY200" i="3"/>
  <c r="CY225" i="3" s="1"/>
  <c r="CW200" i="3"/>
  <c r="CW225" i="3" s="1"/>
  <c r="CU200" i="3"/>
  <c r="CU225" i="3" s="1"/>
  <c r="CQ200" i="3"/>
  <c r="CQ225" i="3" s="1"/>
  <c r="CM200" i="3"/>
  <c r="CM225" i="3" s="1"/>
  <c r="CK200" i="3"/>
  <c r="CK225" i="3" s="1"/>
  <c r="CA200" i="3"/>
  <c r="CA225" i="3" s="1"/>
  <c r="BY200" i="3"/>
  <c r="BY225" i="3" s="1"/>
  <c r="BX200" i="3"/>
  <c r="BX225" i="3" s="1"/>
  <c r="AY200" i="3"/>
  <c r="AY225" i="3" s="1"/>
  <c r="AU200" i="3"/>
  <c r="AU225" i="3" s="1"/>
  <c r="AS200" i="3"/>
  <c r="AS225" i="3" s="1"/>
  <c r="AG200" i="3"/>
  <c r="AG225" i="3" s="1"/>
  <c r="CD195" i="1"/>
  <c r="BC195" i="1"/>
  <c r="DF245" i="3"/>
  <c r="BD245" i="3"/>
  <c r="DF232" i="1" l="1"/>
  <c r="X88" i="3"/>
  <c r="U88" i="3"/>
  <c r="T88" i="3"/>
  <c r="R88" i="3"/>
  <c r="P88" i="3"/>
  <c r="N88" i="3"/>
  <c r="L88" i="3"/>
  <c r="J88" i="3"/>
  <c r="H88" i="3"/>
  <c r="F88" i="3"/>
  <c r="D88" i="3"/>
  <c r="CD232" i="3"/>
  <c r="W88" i="3"/>
  <c r="V88" i="3"/>
  <c r="S88" i="3"/>
  <c r="Q88" i="3"/>
  <c r="O88" i="3"/>
  <c r="M88" i="3"/>
  <c r="K88" i="3"/>
  <c r="I88" i="3"/>
  <c r="G88" i="3"/>
  <c r="E88" i="3"/>
  <c r="BD232" i="3"/>
  <c r="CE232" i="3"/>
  <c r="DE232" i="3"/>
  <c r="Z88" i="3"/>
  <c r="Y88" i="3"/>
  <c r="DF232" i="3"/>
  <c r="V73" i="1"/>
  <c r="Y73" i="1"/>
  <c r="U73" i="1"/>
  <c r="W73" i="1"/>
  <c r="G88" i="1"/>
  <c r="AC93" i="3"/>
  <c r="C109" i="3"/>
  <c r="AC88" i="3"/>
  <c r="AC99" i="3"/>
  <c r="K88" i="1"/>
  <c r="J88" i="1"/>
  <c r="BD232" i="1"/>
  <c r="P88" i="1"/>
  <c r="O88" i="1"/>
  <c r="L88" i="1"/>
  <c r="CE232" i="1"/>
  <c r="CD232" i="1"/>
  <c r="BC232" i="1"/>
  <c r="N88" i="1"/>
  <c r="M88" i="1"/>
  <c r="AC57" i="3"/>
  <c r="AB93" i="3"/>
  <c r="Z64" i="1"/>
  <c r="BB225" i="1"/>
  <c r="Y64" i="1"/>
  <c r="BA225" i="1"/>
  <c r="X64" i="1"/>
  <c r="AZ225" i="1"/>
  <c r="W64" i="1"/>
  <c r="AY225" i="1"/>
  <c r="V64" i="1"/>
  <c r="AX225" i="1"/>
  <c r="U64" i="1"/>
  <c r="AW225" i="1"/>
  <c r="S64" i="1"/>
  <c r="AU225" i="1"/>
  <c r="O64" i="1"/>
  <c r="AQ225" i="1"/>
  <c r="AC88" i="1"/>
  <c r="DD257" i="3"/>
  <c r="DD275" i="3" s="1"/>
  <c r="DF225" i="3"/>
  <c r="DB257" i="3"/>
  <c r="DB275" i="3" s="1"/>
  <c r="DC224" i="3"/>
  <c r="DD201" i="3"/>
  <c r="DB201" i="3"/>
  <c r="AN257" i="3"/>
  <c r="AN275" i="3" s="1"/>
  <c r="AO224" i="3"/>
  <c r="AM224" i="3"/>
  <c r="AL257" i="3"/>
  <c r="AL275" i="3" s="1"/>
  <c r="AK224" i="3"/>
  <c r="AJ257" i="3"/>
  <c r="AJ275" i="3" s="1"/>
  <c r="AI224" i="3"/>
  <c r="AH257" i="3"/>
  <c r="AH275" i="3" s="1"/>
  <c r="AG224" i="3"/>
  <c r="AN201" i="3"/>
  <c r="AL201" i="3"/>
  <c r="AJ201" i="3"/>
  <c r="AH201" i="3"/>
  <c r="AF201" i="3"/>
  <c r="L64" i="3"/>
  <c r="J64" i="3"/>
  <c r="H64" i="3"/>
  <c r="F64" i="3"/>
  <c r="D64" i="3"/>
  <c r="DF229" i="3"/>
  <c r="DE229" i="3"/>
  <c r="AC93" i="1"/>
  <c r="T64" i="1"/>
  <c r="R64" i="1"/>
  <c r="Q64" i="1"/>
  <c r="P64" i="1"/>
  <c r="AB99" i="1"/>
  <c r="AF257" i="3"/>
  <c r="AF275" i="3" s="1"/>
  <c r="Z73" i="1"/>
  <c r="P73" i="1"/>
  <c r="O73" i="1"/>
  <c r="X73" i="1"/>
  <c r="AC99" i="1"/>
  <c r="AC59" i="1"/>
  <c r="AB93" i="1"/>
  <c r="Z73" i="3"/>
  <c r="Y73" i="3"/>
  <c r="X73" i="3"/>
  <c r="W73" i="3"/>
  <c r="V73" i="3"/>
  <c r="U73" i="3"/>
  <c r="T73" i="3"/>
  <c r="S73" i="3"/>
  <c r="R73" i="3"/>
  <c r="Q73" i="3"/>
  <c r="P73" i="3"/>
  <c r="O73" i="3"/>
  <c r="N73" i="3"/>
  <c r="M73" i="3"/>
  <c r="L73" i="3"/>
  <c r="K73" i="3"/>
  <c r="J73" i="3"/>
  <c r="I73" i="3"/>
  <c r="H73" i="3"/>
  <c r="G73" i="3"/>
  <c r="F73" i="3"/>
  <c r="E73" i="3"/>
  <c r="D73" i="3"/>
  <c r="C73" i="3"/>
  <c r="BW257" i="3"/>
  <c r="BW275" i="3" s="1"/>
  <c r="BX224" i="3"/>
  <c r="AC68" i="3"/>
  <c r="AB68" i="3"/>
  <c r="CE210" i="3"/>
  <c r="CD210" i="3"/>
  <c r="DF210" i="3"/>
  <c r="BD210" i="3"/>
  <c r="DE210" i="3"/>
  <c r="BC210" i="3"/>
  <c r="CW201" i="1"/>
  <c r="CV201" i="1"/>
  <c r="CU201" i="1"/>
  <c r="CT201" i="1"/>
  <c r="CR201" i="1"/>
  <c r="CP201" i="1"/>
  <c r="CO201" i="1"/>
  <c r="CN201" i="1"/>
  <c r="CM201" i="1"/>
  <c r="CL201" i="1"/>
  <c r="CK201" i="1"/>
  <c r="CJ201" i="1"/>
  <c r="CI201" i="1"/>
  <c r="CH201" i="1"/>
  <c r="CC201" i="1"/>
  <c r="CB201" i="1"/>
  <c r="CA201" i="1"/>
  <c r="BZ201" i="1"/>
  <c r="BY201" i="1"/>
  <c r="BX201" i="1"/>
  <c r="BW201" i="1"/>
  <c r="BV201" i="1"/>
  <c r="BU201" i="1"/>
  <c r="BT201" i="1"/>
  <c r="BW201" i="3"/>
  <c r="BS201" i="1"/>
  <c r="BQ201" i="1"/>
  <c r="BP201" i="1"/>
  <c r="BO201" i="1"/>
  <c r="BN201" i="1"/>
  <c r="BM201" i="1"/>
  <c r="BL201" i="1"/>
  <c r="BK201" i="1"/>
  <c r="BJ201" i="1"/>
  <c r="BI201" i="1"/>
  <c r="BH201" i="1"/>
  <c r="J73" i="1"/>
  <c r="D73" i="1"/>
  <c r="L64" i="1"/>
  <c r="J64" i="1"/>
  <c r="F64" i="1"/>
  <c r="I64" i="1"/>
  <c r="CH216" i="3"/>
  <c r="M73" i="1"/>
  <c r="I73" i="1"/>
  <c r="C73" i="1"/>
  <c r="CE229" i="3"/>
  <c r="BC229" i="3"/>
  <c r="BD229" i="3"/>
  <c r="Z87" i="3"/>
  <c r="Y87" i="3"/>
  <c r="X87" i="3"/>
  <c r="W87" i="3"/>
  <c r="V87" i="3"/>
  <c r="U87" i="3"/>
  <c r="T87" i="3"/>
  <c r="S87" i="3"/>
  <c r="R87" i="3"/>
  <c r="Q87" i="3"/>
  <c r="P87" i="3"/>
  <c r="O87" i="3"/>
  <c r="N87" i="3"/>
  <c r="M87" i="3"/>
  <c r="L87" i="3"/>
  <c r="K87" i="3"/>
  <c r="J87" i="3"/>
  <c r="I87" i="3"/>
  <c r="H87" i="3"/>
  <c r="G87" i="3"/>
  <c r="F87" i="3"/>
  <c r="E87" i="3"/>
  <c r="D87" i="3"/>
  <c r="M64" i="1"/>
  <c r="G64" i="1"/>
  <c r="D64" i="1"/>
  <c r="N64" i="1"/>
  <c r="H64" i="1"/>
  <c r="E64" i="1"/>
  <c r="K64" i="1"/>
  <c r="N73" i="1"/>
  <c r="K73" i="1"/>
  <c r="F73" i="1"/>
  <c r="AQ201" i="3"/>
  <c r="AE201" i="3"/>
  <c r="CX201" i="1"/>
  <c r="CQ201" i="1"/>
  <c r="BG201" i="1"/>
  <c r="BB201" i="1"/>
  <c r="BA201" i="1"/>
  <c r="AZ201" i="1"/>
  <c r="AY201" i="1"/>
  <c r="AX201" i="1"/>
  <c r="AW201" i="1"/>
  <c r="AV201" i="1"/>
  <c r="T65" i="1" s="1"/>
  <c r="AU201" i="1"/>
  <c r="AT201" i="1"/>
  <c r="AS201" i="1"/>
  <c r="AR201" i="1"/>
  <c r="AP201" i="1"/>
  <c r="AO201" i="1"/>
  <c r="AN201" i="1"/>
  <c r="AM201" i="1"/>
  <c r="AL201" i="1"/>
  <c r="AK201" i="1"/>
  <c r="AJ201" i="1"/>
  <c r="AI201" i="1"/>
  <c r="AH201" i="1"/>
  <c r="AG201" i="1"/>
  <c r="AF201" i="1"/>
  <c r="CH261" i="3"/>
  <c r="L73" i="1"/>
  <c r="H73" i="1"/>
  <c r="E73" i="1"/>
  <c r="CD229" i="3"/>
  <c r="AI201" i="3"/>
  <c r="BV201" i="3"/>
  <c r="AW201" i="3"/>
  <c r="CE210" i="1"/>
  <c r="DD224" i="3"/>
  <c r="DF224" i="3" s="1"/>
  <c r="DC257" i="3"/>
  <c r="DC275" i="3" s="1"/>
  <c r="DA257" i="3"/>
  <c r="DA275" i="3" s="1"/>
  <c r="DB224" i="3"/>
  <c r="BT257" i="3"/>
  <c r="BT275" i="3" s="1"/>
  <c r="BU224" i="3"/>
  <c r="BQ224" i="3"/>
  <c r="CD224" i="3" s="1"/>
  <c r="BP257" i="3"/>
  <c r="BP275" i="3" s="1"/>
  <c r="BO224" i="3"/>
  <c r="BN257" i="3"/>
  <c r="BN275" i="3" s="1"/>
  <c r="BL257" i="3"/>
  <c r="BL275" i="3" s="1"/>
  <c r="BM224" i="3"/>
  <c r="BJ257" i="3"/>
  <c r="BJ275" i="3" s="1"/>
  <c r="BK224" i="3"/>
  <c r="BH257" i="3"/>
  <c r="BH275" i="3" s="1"/>
  <c r="BI224" i="3"/>
  <c r="BB224" i="3"/>
  <c r="BD224" i="3" s="1"/>
  <c r="BA257" i="3"/>
  <c r="BA275" i="3" s="1"/>
  <c r="DC201" i="3"/>
  <c r="CC201" i="3"/>
  <c r="BU201" i="3"/>
  <c r="BS201" i="3"/>
  <c r="BQ201" i="3"/>
  <c r="BJ201" i="3"/>
  <c r="BI201" i="3"/>
  <c r="BH201" i="3"/>
  <c r="BG201" i="3"/>
  <c r="BB201" i="3"/>
  <c r="AZ201" i="3"/>
  <c r="AO201" i="3"/>
  <c r="AM201" i="3"/>
  <c r="AK201" i="3"/>
  <c r="DC201" i="1"/>
  <c r="DB201" i="1"/>
  <c r="DA201" i="1"/>
  <c r="CZ201" i="1"/>
  <c r="CY201" i="1"/>
  <c r="BF201" i="1"/>
  <c r="AQ201" i="1"/>
  <c r="AE201" i="1"/>
  <c r="CZ257" i="3"/>
  <c r="CZ275" i="3" s="1"/>
  <c r="DA224" i="3"/>
  <c r="CX257" i="3"/>
  <c r="CX275" i="3" s="1"/>
  <c r="CY224" i="3"/>
  <c r="CV257" i="3"/>
  <c r="CV275" i="3" s="1"/>
  <c r="CW224" i="3"/>
  <c r="CT257" i="3"/>
  <c r="CT275" i="3" s="1"/>
  <c r="CU224" i="3"/>
  <c r="CR257" i="3"/>
  <c r="CR275" i="3" s="1"/>
  <c r="CS224" i="3"/>
  <c r="DE225" i="3"/>
  <c r="CQ224" i="3"/>
  <c r="CP257" i="3"/>
  <c r="CP275" i="3" s="1"/>
  <c r="CO224" i="3"/>
  <c r="CN257" i="3"/>
  <c r="CN275" i="3" s="1"/>
  <c r="CL257" i="3"/>
  <c r="CL275" i="3" s="1"/>
  <c r="CM224" i="3"/>
  <c r="CJ257" i="3"/>
  <c r="CJ275" i="3" s="1"/>
  <c r="CK224" i="3"/>
  <c r="CH257" i="3"/>
  <c r="CH275" i="3" s="1"/>
  <c r="CI224" i="3"/>
  <c r="CE225" i="3"/>
  <c r="CC257" i="3"/>
  <c r="CC275" i="3" s="1"/>
  <c r="CB257" i="3"/>
  <c r="CB275" i="3" s="1"/>
  <c r="CC224" i="3"/>
  <c r="CE224" i="3" s="1"/>
  <c r="BZ257" i="3"/>
  <c r="BZ275" i="3" s="1"/>
  <c r="CA224" i="3"/>
  <c r="BV224" i="3"/>
  <c r="BU257" i="3"/>
  <c r="BU275" i="3" s="1"/>
  <c r="BT224" i="3"/>
  <c r="BS257" i="3"/>
  <c r="BS275" i="3" s="1"/>
  <c r="BR224" i="3"/>
  <c r="BQ257" i="3"/>
  <c r="BQ275" i="3" s="1"/>
  <c r="BO257" i="3"/>
  <c r="BO275" i="3" s="1"/>
  <c r="BP224" i="3"/>
  <c r="BM257" i="3"/>
  <c r="BM275" i="3" s="1"/>
  <c r="BN224" i="3"/>
  <c r="BK257" i="3"/>
  <c r="BK275" i="3" s="1"/>
  <c r="BL224" i="3"/>
  <c r="BJ224" i="3"/>
  <c r="BI257" i="3"/>
  <c r="BI275" i="3" s="1"/>
  <c r="BH224" i="3"/>
  <c r="BG257" i="3"/>
  <c r="BG275" i="3" s="1"/>
  <c r="BD257" i="3"/>
  <c r="BA224" i="3"/>
  <c r="AZ257" i="3"/>
  <c r="AZ275" i="3" s="1"/>
  <c r="AX257" i="3"/>
  <c r="AX275" i="3" s="1"/>
  <c r="AY224" i="3"/>
  <c r="AV257" i="3"/>
  <c r="AV275" i="3" s="1"/>
  <c r="AW224" i="3"/>
  <c r="AT257" i="3"/>
  <c r="AT275" i="3" s="1"/>
  <c r="AU224" i="3"/>
  <c r="AR257" i="3"/>
  <c r="AR275" i="3" s="1"/>
  <c r="AS224" i="3"/>
  <c r="BC225" i="3"/>
  <c r="AP257" i="3"/>
  <c r="AP275" i="3" s="1"/>
  <c r="AQ224" i="3"/>
  <c r="DA201" i="3"/>
  <c r="CZ201" i="3"/>
  <c r="CX201" i="3"/>
  <c r="CV201" i="3"/>
  <c r="CT201" i="3"/>
  <c r="CR201" i="3"/>
  <c r="CP201" i="3"/>
  <c r="CN201" i="3"/>
  <c r="CL201" i="3"/>
  <c r="CJ201" i="3"/>
  <c r="CH201" i="3"/>
  <c r="CB201" i="3"/>
  <c r="BZ201" i="3"/>
  <c r="BT201" i="3"/>
  <c r="BP201" i="3"/>
  <c r="BO201" i="3"/>
  <c r="BN201" i="3"/>
  <c r="BM201" i="3"/>
  <c r="BL201" i="3"/>
  <c r="BK201" i="3"/>
  <c r="BA201" i="3"/>
  <c r="AX201" i="3"/>
  <c r="AV201" i="3"/>
  <c r="AT201" i="3"/>
  <c r="AR201" i="3"/>
  <c r="AP201" i="3"/>
  <c r="DE210" i="1"/>
  <c r="Y64" i="3"/>
  <c r="V64" i="3"/>
  <c r="R64" i="3"/>
  <c r="N64" i="3"/>
  <c r="CD210" i="1"/>
  <c r="AB68" i="1"/>
  <c r="BD210" i="1"/>
  <c r="CD225" i="3"/>
  <c r="BD225" i="3"/>
  <c r="DF225" i="1"/>
  <c r="DD257" i="1"/>
  <c r="DD275" i="1" s="1"/>
  <c r="DC257" i="1"/>
  <c r="DC275" i="1" s="1"/>
  <c r="DD224" i="1"/>
  <c r="DF224" i="1" s="1"/>
  <c r="DB257" i="1"/>
  <c r="DB275" i="1" s="1"/>
  <c r="DC224" i="1"/>
  <c r="DA257" i="1"/>
  <c r="DA275" i="1" s="1"/>
  <c r="DB224" i="1"/>
  <c r="CZ257" i="1"/>
  <c r="CZ275" i="1" s="1"/>
  <c r="DA224" i="1"/>
  <c r="CY257" i="1"/>
  <c r="CY275" i="1" s="1"/>
  <c r="CZ224" i="1"/>
  <c r="BC210" i="1"/>
  <c r="AB73" i="1" s="1"/>
  <c r="Z64" i="3"/>
  <c r="X64" i="3"/>
  <c r="T64" i="3"/>
  <c r="P64" i="3"/>
  <c r="M64" i="3"/>
  <c r="K64" i="3"/>
  <c r="I64" i="3"/>
  <c r="G73" i="1"/>
  <c r="DF210" i="1"/>
  <c r="AO257" i="3"/>
  <c r="AO275" i="3" s="1"/>
  <c r="AP224" i="3"/>
  <c r="AM257" i="3"/>
  <c r="AM275" i="3" s="1"/>
  <c r="AN224" i="3"/>
  <c r="AN226" i="3" s="1"/>
  <c r="AK257" i="3"/>
  <c r="AK275" i="3" s="1"/>
  <c r="AL224" i="3"/>
  <c r="AL226" i="3" s="1"/>
  <c r="CS201" i="3"/>
  <c r="CO201" i="3"/>
  <c r="CI201" i="3"/>
  <c r="CG201" i="3"/>
  <c r="BF201" i="3"/>
  <c r="AB99" i="3"/>
  <c r="DD201" i="1"/>
  <c r="CS201" i="1"/>
  <c r="CG201" i="1"/>
  <c r="BR201" i="3"/>
  <c r="CH265" i="3"/>
  <c r="CI263" i="3"/>
  <c r="CI264" i="3" s="1"/>
  <c r="BG265" i="3"/>
  <c r="BH263" i="3"/>
  <c r="BH264" i="3" s="1"/>
  <c r="C119" i="3"/>
  <c r="AF265" i="3"/>
  <c r="AG263" i="3"/>
  <c r="AG264" i="3" s="1"/>
  <c r="BG216" i="3"/>
  <c r="BG261" i="3"/>
  <c r="AF216" i="3"/>
  <c r="AF261" i="3"/>
  <c r="BG255" i="3"/>
  <c r="BG278" i="3"/>
  <c r="BH253" i="3"/>
  <c r="BH254" i="3" s="1"/>
  <c r="DF200" i="3"/>
  <c r="DE200" i="3"/>
  <c r="CE200" i="3"/>
  <c r="CD200" i="3"/>
  <c r="O64" i="3"/>
  <c r="BD200" i="3"/>
  <c r="AC64" i="3" s="1"/>
  <c r="C64" i="3"/>
  <c r="BC200" i="3"/>
  <c r="AB64" i="3" s="1"/>
  <c r="DC250" i="3"/>
  <c r="DC274" i="3" s="1"/>
  <c r="DD221" i="3"/>
  <c r="DF221" i="3" s="1"/>
  <c r="CY250" i="3"/>
  <c r="CY274" i="3" s="1"/>
  <c r="CZ221" i="3"/>
  <c r="CW250" i="3"/>
  <c r="CW274" i="3" s="1"/>
  <c r="CX221" i="3"/>
  <c r="CU250" i="3"/>
  <c r="CU274" i="3" s="1"/>
  <c r="CV221" i="3"/>
  <c r="CS250" i="3"/>
  <c r="CS274" i="3" s="1"/>
  <c r="CT221" i="3"/>
  <c r="CQ250" i="3"/>
  <c r="CQ274" i="3" s="1"/>
  <c r="CR221" i="3"/>
  <c r="DE221" i="3" s="1"/>
  <c r="CO250" i="3"/>
  <c r="CO274" i="3" s="1"/>
  <c r="CP221" i="3"/>
  <c r="CM250" i="3"/>
  <c r="CM274" i="3" s="1"/>
  <c r="CN221" i="3"/>
  <c r="CK250" i="3"/>
  <c r="CK274" i="3" s="1"/>
  <c r="CL221" i="3"/>
  <c r="CI250" i="3"/>
  <c r="CI274" i="3" s="1"/>
  <c r="CJ221" i="3"/>
  <c r="CG223" i="3"/>
  <c r="CG250" i="3"/>
  <c r="CG274" i="3" s="1"/>
  <c r="CH221" i="3"/>
  <c r="CE222" i="3"/>
  <c r="CC250" i="3"/>
  <c r="CA250" i="3"/>
  <c r="CA274" i="3" s="1"/>
  <c r="CB221" i="3"/>
  <c r="BZ221" i="3"/>
  <c r="BY250" i="3"/>
  <c r="BY274" i="3" s="1"/>
  <c r="BW250" i="3"/>
  <c r="BW274" i="3" s="1"/>
  <c r="BX221" i="3"/>
  <c r="BU250" i="3"/>
  <c r="BU274" i="3" s="1"/>
  <c r="BV221" i="3"/>
  <c r="BS250" i="3"/>
  <c r="BS274" i="3" s="1"/>
  <c r="BT221" i="3"/>
  <c r="BQ250" i="3"/>
  <c r="CD222" i="3"/>
  <c r="BR221" i="3"/>
  <c r="BK221" i="3"/>
  <c r="BJ250" i="3"/>
  <c r="BJ274" i="3" s="1"/>
  <c r="BI250" i="3"/>
  <c r="BI274" i="3" s="1"/>
  <c r="BJ221" i="3"/>
  <c r="BI221" i="3"/>
  <c r="BH250" i="3"/>
  <c r="BH274" i="3" s="1"/>
  <c r="BG250" i="3"/>
  <c r="BG274" i="3" s="1"/>
  <c r="BH221" i="3"/>
  <c r="BF223" i="3"/>
  <c r="BF250" i="3"/>
  <c r="BF274" i="3" s="1"/>
  <c r="BG221" i="3"/>
  <c r="BD222" i="3"/>
  <c r="BB250" i="3"/>
  <c r="BA221" i="3"/>
  <c r="AZ250" i="3"/>
  <c r="AS250" i="3"/>
  <c r="AT221" i="3"/>
  <c r="AQ250" i="3"/>
  <c r="AR221" i="3"/>
  <c r="AO250" i="3"/>
  <c r="AP221" i="3"/>
  <c r="BC221" i="3" s="1"/>
  <c r="AM250" i="3"/>
  <c r="AN221" i="3"/>
  <c r="AK250" i="3"/>
  <c r="AL221" i="3"/>
  <c r="AI250" i="3"/>
  <c r="AJ221" i="3"/>
  <c r="AG250" i="3"/>
  <c r="AH221" i="3"/>
  <c r="AE223" i="3"/>
  <c r="AE250" i="3"/>
  <c r="AF221" i="3"/>
  <c r="AB57" i="3"/>
  <c r="C8" i="3"/>
  <c r="C42" i="3"/>
  <c r="DF200" i="1"/>
  <c r="DE200" i="1"/>
  <c r="CE200" i="1"/>
  <c r="CD200" i="1"/>
  <c r="BD200" i="1"/>
  <c r="AC64" i="1" s="1"/>
  <c r="C64" i="1"/>
  <c r="BC200" i="1"/>
  <c r="AB64" i="1" s="1"/>
  <c r="DF222" i="1"/>
  <c r="DD250" i="1"/>
  <c r="DC250" i="1"/>
  <c r="DC274" i="1" s="1"/>
  <c r="DD221" i="1"/>
  <c r="DF221" i="1" s="1"/>
  <c r="DB250" i="1"/>
  <c r="DB274" i="1" s="1"/>
  <c r="DC221" i="1"/>
  <c r="DA250" i="1"/>
  <c r="DA274" i="1" s="1"/>
  <c r="DB221" i="1"/>
  <c r="CZ250" i="1"/>
  <c r="CZ274" i="1" s="1"/>
  <c r="DA221" i="1"/>
  <c r="CY250" i="1"/>
  <c r="CY274" i="1" s="1"/>
  <c r="CZ221" i="1"/>
  <c r="CX250" i="1"/>
  <c r="CX274" i="1" s="1"/>
  <c r="CY221" i="1"/>
  <c r="CW250" i="1"/>
  <c r="CW274" i="1" s="1"/>
  <c r="CX221" i="1"/>
  <c r="CV250" i="1"/>
  <c r="CV274" i="1" s="1"/>
  <c r="CW221" i="1"/>
  <c r="CU250" i="1"/>
  <c r="CU274" i="1" s="1"/>
  <c r="CV221" i="1"/>
  <c r="CT250" i="1"/>
  <c r="CT274" i="1" s="1"/>
  <c r="CU221" i="1"/>
  <c r="CS250" i="1"/>
  <c r="CS274" i="1" s="1"/>
  <c r="CT221" i="1"/>
  <c r="DE222" i="1"/>
  <c r="CR250" i="1"/>
  <c r="CS221" i="1"/>
  <c r="CQ250" i="1"/>
  <c r="CQ274" i="1" s="1"/>
  <c r="CR221" i="1"/>
  <c r="DE221" i="1" s="1"/>
  <c r="CP250" i="1"/>
  <c r="CP274" i="1" s="1"/>
  <c r="CQ221" i="1"/>
  <c r="CO250" i="1"/>
  <c r="CO274" i="1" s="1"/>
  <c r="CP221" i="1"/>
  <c r="CN250" i="1"/>
  <c r="CN274" i="1" s="1"/>
  <c r="CO221" i="1"/>
  <c r="CM250" i="1"/>
  <c r="CM274" i="1" s="1"/>
  <c r="CN221" i="1"/>
  <c r="CL250" i="1"/>
  <c r="CL274" i="1" s="1"/>
  <c r="CM221" i="1"/>
  <c r="CK250" i="1"/>
  <c r="CK274" i="1" s="1"/>
  <c r="CL221" i="1"/>
  <c r="CJ250" i="1"/>
  <c r="CJ274" i="1" s="1"/>
  <c r="CK221" i="1"/>
  <c r="CI250" i="1"/>
  <c r="CI274" i="1" s="1"/>
  <c r="CJ221" i="1"/>
  <c r="CH250" i="1"/>
  <c r="CH274" i="1" s="1"/>
  <c r="CI221" i="1"/>
  <c r="CG223" i="1"/>
  <c r="CG250" i="1"/>
  <c r="CG274" i="1" s="1"/>
  <c r="CH221" i="1"/>
  <c r="CE222" i="1"/>
  <c r="CC250" i="1"/>
  <c r="CB250" i="1"/>
  <c r="CB274" i="1" s="1"/>
  <c r="CC221" i="1"/>
  <c r="CE221" i="1" s="1"/>
  <c r="CA250" i="1"/>
  <c r="CA274" i="1" s="1"/>
  <c r="CB221" i="1"/>
  <c r="BZ250" i="1"/>
  <c r="BZ274" i="1" s="1"/>
  <c r="CA221" i="1"/>
  <c r="BY250" i="1"/>
  <c r="BY274" i="1" s="1"/>
  <c r="BZ221" i="1"/>
  <c r="BX250" i="1"/>
  <c r="BX274" i="1" s="1"/>
  <c r="BY221" i="1"/>
  <c r="BW250" i="1"/>
  <c r="BW274" i="1" s="1"/>
  <c r="BX221" i="1"/>
  <c r="BV250" i="1"/>
  <c r="BV274" i="1" s="1"/>
  <c r="BW221" i="1"/>
  <c r="BU250" i="1"/>
  <c r="BU274" i="1" s="1"/>
  <c r="BV221" i="1"/>
  <c r="BT250" i="1"/>
  <c r="BT274" i="1" s="1"/>
  <c r="BU221" i="1"/>
  <c r="BS250" i="1"/>
  <c r="BS274" i="1" s="1"/>
  <c r="BT221" i="1"/>
  <c r="BR250" i="1"/>
  <c r="BR274" i="1" s="1"/>
  <c r="BS221" i="1"/>
  <c r="CD222" i="1"/>
  <c r="BQ250" i="1"/>
  <c r="BR221" i="1"/>
  <c r="BP250" i="1"/>
  <c r="BP274" i="1" s="1"/>
  <c r="BQ221" i="1"/>
  <c r="CD221" i="1" s="1"/>
  <c r="BO250" i="1"/>
  <c r="BO274" i="1" s="1"/>
  <c r="BP221" i="1"/>
  <c r="BN250" i="1"/>
  <c r="BN274" i="1" s="1"/>
  <c r="BO221" i="1"/>
  <c r="BM250" i="1"/>
  <c r="BM274" i="1" s="1"/>
  <c r="BN221" i="1"/>
  <c r="BL250" i="1"/>
  <c r="BL274" i="1" s="1"/>
  <c r="BM221" i="1"/>
  <c r="BK250" i="1"/>
  <c r="BK274" i="1" s="1"/>
  <c r="BL221" i="1"/>
  <c r="BJ250" i="1"/>
  <c r="BJ274" i="1" s="1"/>
  <c r="BK221" i="1"/>
  <c r="BI250" i="1"/>
  <c r="BI274" i="1" s="1"/>
  <c r="BJ221" i="1"/>
  <c r="BH250" i="1"/>
  <c r="BH274" i="1" s="1"/>
  <c r="BI221" i="1"/>
  <c r="BG250" i="1"/>
  <c r="BG274" i="1" s="1"/>
  <c r="BH221" i="1"/>
  <c r="BF223" i="1"/>
  <c r="BF250" i="1"/>
  <c r="BF274" i="1" s="1"/>
  <c r="BG221" i="1"/>
  <c r="BD222" i="1"/>
  <c r="BB250" i="1"/>
  <c r="BA250" i="1"/>
  <c r="BB221" i="1"/>
  <c r="BD221" i="1" s="1"/>
  <c r="AZ250" i="1"/>
  <c r="BA221" i="1"/>
  <c r="AY250" i="1"/>
  <c r="AZ221" i="1"/>
  <c r="AX250" i="1"/>
  <c r="AY221" i="1"/>
  <c r="AW250" i="1"/>
  <c r="AX221" i="1"/>
  <c r="AV250" i="1"/>
  <c r="AW221" i="1"/>
  <c r="AU250" i="1"/>
  <c r="AV221" i="1"/>
  <c r="AT250" i="1"/>
  <c r="AU221" i="1"/>
  <c r="AS250" i="1"/>
  <c r="AT221" i="1"/>
  <c r="AR250" i="1"/>
  <c r="AS221" i="1"/>
  <c r="AQ250" i="1"/>
  <c r="AR221" i="1"/>
  <c r="BC222" i="1"/>
  <c r="AP250" i="1"/>
  <c r="AQ221" i="1"/>
  <c r="AO250" i="1"/>
  <c r="AP221" i="1"/>
  <c r="BC221" i="1" s="1"/>
  <c r="AN250" i="1"/>
  <c r="AO221" i="1"/>
  <c r="AM250" i="1"/>
  <c r="AN221" i="1"/>
  <c r="AL250" i="1"/>
  <c r="AM221" i="1"/>
  <c r="AK250" i="1"/>
  <c r="AL221" i="1"/>
  <c r="AJ250" i="1"/>
  <c r="AK221" i="1"/>
  <c r="AI250" i="1"/>
  <c r="AJ221" i="1"/>
  <c r="AH250" i="1"/>
  <c r="AI221" i="1"/>
  <c r="AG250" i="1"/>
  <c r="AH221" i="1"/>
  <c r="AF250" i="1"/>
  <c r="AG221" i="1"/>
  <c r="C8" i="1"/>
  <c r="AB57" i="1"/>
  <c r="C42" i="1"/>
  <c r="AE223" i="1"/>
  <c r="AE250" i="1"/>
  <c r="AF221" i="1"/>
  <c r="DF222" i="3"/>
  <c r="DD250" i="3"/>
  <c r="DB250" i="3"/>
  <c r="DB274" i="3" s="1"/>
  <c r="DC221" i="3"/>
  <c r="DA250" i="3"/>
  <c r="DA274" i="3" s="1"/>
  <c r="DB221" i="3"/>
  <c r="DA221" i="3"/>
  <c r="CZ250" i="3"/>
  <c r="CZ274" i="3" s="1"/>
  <c r="CX250" i="3"/>
  <c r="CX274" i="3" s="1"/>
  <c r="CY221" i="3"/>
  <c r="CV250" i="3"/>
  <c r="CV274" i="3" s="1"/>
  <c r="CW221" i="3"/>
  <c r="CT250" i="3"/>
  <c r="CT274" i="3" s="1"/>
  <c r="CU221" i="3"/>
  <c r="CR250" i="3"/>
  <c r="CS221" i="3"/>
  <c r="DE222" i="3"/>
  <c r="CP250" i="3"/>
  <c r="CP274" i="3" s="1"/>
  <c r="CQ221" i="3"/>
  <c r="CN250" i="3"/>
  <c r="CN274" i="3" s="1"/>
  <c r="CO221" i="3"/>
  <c r="CL250" i="3"/>
  <c r="CL274" i="3" s="1"/>
  <c r="CM221" i="3"/>
  <c r="CJ250" i="3"/>
  <c r="CJ274" i="3" s="1"/>
  <c r="CK221" i="3"/>
  <c r="CI221" i="3"/>
  <c r="CH250" i="3"/>
  <c r="CH274" i="3" s="1"/>
  <c r="CB250" i="3"/>
  <c r="CB274" i="3" s="1"/>
  <c r="CC221" i="3"/>
  <c r="CE221" i="3" s="1"/>
  <c r="CA221" i="3"/>
  <c r="BZ250" i="3"/>
  <c r="BZ274" i="3" s="1"/>
  <c r="BX250" i="3"/>
  <c r="BX274" i="3" s="1"/>
  <c r="BY221" i="3"/>
  <c r="BV250" i="3"/>
  <c r="BV274" i="3" s="1"/>
  <c r="BW221" i="3"/>
  <c r="BU221" i="3"/>
  <c r="BT250" i="3"/>
  <c r="BT274" i="3" s="1"/>
  <c r="BR250" i="3"/>
  <c r="BR274" i="3" s="1"/>
  <c r="BS221" i="3"/>
  <c r="BQ221" i="3"/>
  <c r="CD221" i="3" s="1"/>
  <c r="BP250" i="3"/>
  <c r="BP274" i="3" s="1"/>
  <c r="BP221" i="3"/>
  <c r="BO250" i="3"/>
  <c r="BO274" i="3" s="1"/>
  <c r="BO221" i="3"/>
  <c r="BN250" i="3"/>
  <c r="BN274" i="3" s="1"/>
  <c r="BM250" i="3"/>
  <c r="BM274" i="3" s="1"/>
  <c r="BN221" i="3"/>
  <c r="BL250" i="3"/>
  <c r="BL274" i="3" s="1"/>
  <c r="BM221" i="3"/>
  <c r="BK250" i="3"/>
  <c r="BK274" i="3" s="1"/>
  <c r="BL221" i="3"/>
  <c r="BA250" i="3"/>
  <c r="BB221" i="3"/>
  <c r="BD221" i="3" s="1"/>
  <c r="AY250" i="3"/>
  <c r="AZ221" i="3"/>
  <c r="AY221" i="3"/>
  <c r="AX250" i="3"/>
  <c r="AW250" i="3"/>
  <c r="AX221" i="3"/>
  <c r="AW221" i="3"/>
  <c r="AV250" i="3"/>
  <c r="AU250" i="3"/>
  <c r="AV221" i="3"/>
  <c r="AT250" i="3"/>
  <c r="AU221" i="3"/>
  <c r="AR250" i="3"/>
  <c r="AS221" i="3"/>
  <c r="BC222" i="3"/>
  <c r="AP250" i="3"/>
  <c r="AQ221" i="3"/>
  <c r="AN250" i="3"/>
  <c r="AO221" i="3"/>
  <c r="AL250" i="3"/>
  <c r="AM221" i="3"/>
  <c r="AJ250" i="3"/>
  <c r="AK221" i="3"/>
  <c r="AH250" i="3"/>
  <c r="AI221" i="3"/>
  <c r="AF250" i="3"/>
  <c r="AG221" i="3"/>
  <c r="C140" i="3"/>
  <c r="CH265" i="1"/>
  <c r="CI263" i="1"/>
  <c r="CI264" i="1" s="1"/>
  <c r="BG265" i="1"/>
  <c r="BH263" i="1"/>
  <c r="BH264" i="1" s="1"/>
  <c r="C119" i="1"/>
  <c r="AF265" i="1"/>
  <c r="AG263" i="1"/>
  <c r="AG264" i="1" s="1"/>
  <c r="CH216" i="1"/>
  <c r="CH261" i="1"/>
  <c r="BG216" i="1"/>
  <c r="BG261" i="1"/>
  <c r="AF216" i="1"/>
  <c r="AF261" i="1"/>
  <c r="CH255" i="1"/>
  <c r="CH278" i="1"/>
  <c r="CI253" i="1"/>
  <c r="CI254" i="1" s="1"/>
  <c r="BG255" i="1"/>
  <c r="BG278" i="1"/>
  <c r="BH253" i="1"/>
  <c r="BH254" i="1" s="1"/>
  <c r="AF255" i="1"/>
  <c r="D109" i="1" s="1"/>
  <c r="AF278" i="1"/>
  <c r="AG253" i="1"/>
  <c r="AG254" i="1" s="1"/>
  <c r="AB87" i="1"/>
  <c r="C140" i="1"/>
  <c r="CH255" i="3"/>
  <c r="CH278" i="3"/>
  <c r="CI253" i="3"/>
  <c r="CI254" i="3" s="1"/>
  <c r="AF255" i="3"/>
  <c r="AG253" i="3"/>
  <c r="AG254" i="3" s="1"/>
  <c r="AF278" i="3"/>
  <c r="CP224" i="3"/>
  <c r="CP226" i="3" s="1"/>
  <c r="CO257" i="3"/>
  <c r="CO275" i="3" s="1"/>
  <c r="CJ224" i="3"/>
  <c r="CJ226" i="3" s="1"/>
  <c r="CI257" i="3"/>
  <c r="CI275" i="3" s="1"/>
  <c r="BW224" i="3"/>
  <c r="BW226" i="3" s="1"/>
  <c r="BV257" i="3"/>
  <c r="BV275" i="3" s="1"/>
  <c r="U64" i="3"/>
  <c r="G64" i="3"/>
  <c r="CY257" i="3"/>
  <c r="CY275" i="3" s="1"/>
  <c r="CZ224" i="3"/>
  <c r="CZ226" i="3" s="1"/>
  <c r="CW257" i="3"/>
  <c r="CW275" i="3" s="1"/>
  <c r="CX224" i="3"/>
  <c r="CX226" i="3" s="1"/>
  <c r="CV224" i="3"/>
  <c r="CV226" i="3" s="1"/>
  <c r="CU257" i="3"/>
  <c r="CU275" i="3" s="1"/>
  <c r="CQ257" i="3"/>
  <c r="CQ275" i="3" s="1"/>
  <c r="CR224" i="3"/>
  <c r="CN224" i="3"/>
  <c r="CN226" i="3" s="1"/>
  <c r="CM257" i="3"/>
  <c r="CM275" i="3" s="1"/>
  <c r="CL224" i="3"/>
  <c r="CL226" i="3" s="1"/>
  <c r="CK257" i="3"/>
  <c r="CK275" i="3" s="1"/>
  <c r="CB224" i="3"/>
  <c r="CB226" i="3" s="1"/>
  <c r="CA257" i="3"/>
  <c r="CA275" i="3" s="1"/>
  <c r="BZ224" i="3"/>
  <c r="BZ226" i="3" s="1"/>
  <c r="BY257" i="3"/>
  <c r="BY275" i="3" s="1"/>
  <c r="BY224" i="3"/>
  <c r="BX257" i="3"/>
  <c r="BX275" i="3" s="1"/>
  <c r="W64" i="3"/>
  <c r="S64" i="3"/>
  <c r="Q64" i="3"/>
  <c r="E64" i="3"/>
  <c r="CK201" i="3"/>
  <c r="BY201" i="3"/>
  <c r="BR201" i="1"/>
  <c r="AB59" i="3"/>
  <c r="CM201" i="3"/>
  <c r="AS201" i="3"/>
  <c r="AG201" i="3"/>
  <c r="AY201" i="3"/>
  <c r="AC59" i="3"/>
  <c r="CQ201" i="3"/>
  <c r="CA201" i="3"/>
  <c r="AB59" i="1"/>
  <c r="CY201" i="3"/>
  <c r="CW201" i="3"/>
  <c r="CU201" i="3"/>
  <c r="BX201" i="3"/>
  <c r="AU201" i="3"/>
  <c r="AB88" i="3" l="1"/>
  <c r="AC87" i="3"/>
  <c r="Z112" i="3"/>
  <c r="AB87" i="3"/>
  <c r="AB88" i="1"/>
  <c r="D109" i="3"/>
  <c r="DC226" i="3"/>
  <c r="DF257" i="3"/>
  <c r="L112" i="3"/>
  <c r="J112" i="3"/>
  <c r="H112" i="3"/>
  <c r="F112" i="3"/>
  <c r="D112" i="3"/>
  <c r="DD202" i="3"/>
  <c r="DD211" i="3"/>
  <c r="DB202" i="3"/>
  <c r="DB211" i="3"/>
  <c r="AN202" i="3"/>
  <c r="AN211" i="3"/>
  <c r="J65" i="3"/>
  <c r="AL202" i="3"/>
  <c r="AL211" i="3"/>
  <c r="H65" i="3"/>
  <c r="AJ211" i="3"/>
  <c r="F65" i="3"/>
  <c r="AH211" i="3"/>
  <c r="AF202" i="3"/>
  <c r="AF211" i="3"/>
  <c r="AO226" i="3"/>
  <c r="AM226" i="3"/>
  <c r="L65" i="3"/>
  <c r="AJ202" i="3"/>
  <c r="AH202" i="3"/>
  <c r="D65" i="3"/>
  <c r="AK226" i="3"/>
  <c r="AC73" i="3"/>
  <c r="AB73" i="3"/>
  <c r="Z65" i="1"/>
  <c r="Y65" i="1"/>
  <c r="X65" i="1"/>
  <c r="W65" i="1"/>
  <c r="V65" i="1"/>
  <c r="U65" i="1"/>
  <c r="S65" i="1"/>
  <c r="R65" i="1"/>
  <c r="Q65" i="1"/>
  <c r="P65" i="1"/>
  <c r="O65" i="1"/>
  <c r="AC73" i="1"/>
  <c r="Z106" i="1"/>
  <c r="BA274" i="1"/>
  <c r="Y106" i="1"/>
  <c r="AZ274" i="1"/>
  <c r="X106" i="1"/>
  <c r="AY274" i="1"/>
  <c r="W106" i="1"/>
  <c r="AX274" i="1"/>
  <c r="V106" i="1"/>
  <c r="AW274" i="1"/>
  <c r="U106" i="1"/>
  <c r="AV274" i="1"/>
  <c r="T106" i="1"/>
  <c r="AU274" i="1"/>
  <c r="S106" i="1"/>
  <c r="AT274" i="1"/>
  <c r="R106" i="1"/>
  <c r="AS274" i="1"/>
  <c r="Q106" i="1"/>
  <c r="AR274" i="1"/>
  <c r="P106" i="1"/>
  <c r="AQ274" i="1"/>
  <c r="O106" i="1"/>
  <c r="CW257" i="1"/>
  <c r="CW275" i="1" s="1"/>
  <c r="CX224" i="1"/>
  <c r="CV257" i="1"/>
  <c r="CV275" i="1" s="1"/>
  <c r="CW224" i="1"/>
  <c r="CU257" i="1"/>
  <c r="CU275" i="1" s="1"/>
  <c r="CV224" i="1"/>
  <c r="CT257" i="1"/>
  <c r="CT275" i="1" s="1"/>
  <c r="CU224" i="1"/>
  <c r="DE225" i="1"/>
  <c r="CR257" i="1"/>
  <c r="CR275" i="1" s="1"/>
  <c r="CS224" i="1"/>
  <c r="CP257" i="1"/>
  <c r="CP275" i="1" s="1"/>
  <c r="CQ224" i="1"/>
  <c r="CO257" i="1"/>
  <c r="CO275" i="1" s="1"/>
  <c r="CP224" i="1"/>
  <c r="CN257" i="1"/>
  <c r="CN275" i="1" s="1"/>
  <c r="CO224" i="1"/>
  <c r="CM257" i="1"/>
  <c r="CM275" i="1" s="1"/>
  <c r="CN224" i="1"/>
  <c r="CL257" i="1"/>
  <c r="CL275" i="1" s="1"/>
  <c r="CM224" i="1"/>
  <c r="CK257" i="1"/>
  <c r="CK275" i="1" s="1"/>
  <c r="CL224" i="1"/>
  <c r="CJ257" i="1"/>
  <c r="CJ275" i="1" s="1"/>
  <c r="CK224" i="1"/>
  <c r="CI257" i="1"/>
  <c r="CI275" i="1" s="1"/>
  <c r="CJ224" i="1"/>
  <c r="CH257" i="1"/>
  <c r="CH275" i="1" s="1"/>
  <c r="CI224" i="1"/>
  <c r="CE225" i="1"/>
  <c r="CC257" i="1"/>
  <c r="CC275" i="1" s="1"/>
  <c r="CB257" i="1"/>
  <c r="CB275" i="1" s="1"/>
  <c r="CC224" i="1"/>
  <c r="CE224" i="1" s="1"/>
  <c r="CA257" i="1"/>
  <c r="CA275" i="1" s="1"/>
  <c r="CB224" i="1"/>
  <c r="BZ257" i="1"/>
  <c r="BZ275" i="1" s="1"/>
  <c r="CA224" i="1"/>
  <c r="BY257" i="1"/>
  <c r="BY275" i="1" s="1"/>
  <c r="BZ224" i="1"/>
  <c r="BX257" i="1"/>
  <c r="BX275" i="1" s="1"/>
  <c r="BY224" i="1"/>
  <c r="BW257" i="1"/>
  <c r="BW275" i="1" s="1"/>
  <c r="BX224" i="1"/>
  <c r="BV257" i="1"/>
  <c r="BV275" i="1" s="1"/>
  <c r="BW224" i="1"/>
  <c r="BU257" i="1"/>
  <c r="BU275" i="1" s="1"/>
  <c r="BV224" i="1"/>
  <c r="BT257" i="1"/>
  <c r="BT275" i="1" s="1"/>
  <c r="BU224" i="1"/>
  <c r="CD225" i="1"/>
  <c r="BQ257" i="1"/>
  <c r="BQ275" i="1" s="1"/>
  <c r="BR224" i="1"/>
  <c r="BP257" i="1"/>
  <c r="BP275" i="1" s="1"/>
  <c r="BQ224" i="1"/>
  <c r="CD224" i="1" s="1"/>
  <c r="BO257" i="1"/>
  <c r="BO275" i="1" s="1"/>
  <c r="BP224" i="1"/>
  <c r="BN257" i="1"/>
  <c r="BN275" i="1" s="1"/>
  <c r="BO224" i="1"/>
  <c r="BM257" i="1"/>
  <c r="BM275" i="1" s="1"/>
  <c r="BN224" i="1"/>
  <c r="BX226" i="3"/>
  <c r="BS257" i="1"/>
  <c r="BS275" i="1" s="1"/>
  <c r="BT224" i="1"/>
  <c r="BL257" i="1"/>
  <c r="BL275" i="1" s="1"/>
  <c r="BM224" i="1"/>
  <c r="BK257" i="1"/>
  <c r="BK275" i="1" s="1"/>
  <c r="BL224" i="1"/>
  <c r="BJ257" i="1"/>
  <c r="BJ275" i="1" s="1"/>
  <c r="BK224" i="1"/>
  <c r="BI257" i="1"/>
  <c r="BI275" i="1" s="1"/>
  <c r="BJ224" i="1"/>
  <c r="BH257" i="1"/>
  <c r="BH275" i="1" s="1"/>
  <c r="BI224" i="1"/>
  <c r="CW202" i="1"/>
  <c r="CW211" i="1"/>
  <c r="CV202" i="1"/>
  <c r="CV211" i="1"/>
  <c r="CU202" i="1"/>
  <c r="CU211" i="1"/>
  <c r="CT202" i="1"/>
  <c r="CT211" i="1"/>
  <c r="CR202" i="1"/>
  <c r="CR211" i="1"/>
  <c r="CP202" i="1"/>
  <c r="CP211" i="1"/>
  <c r="CO202" i="1"/>
  <c r="CO211" i="1"/>
  <c r="CN202" i="1"/>
  <c r="CN211" i="1"/>
  <c r="CM202" i="1"/>
  <c r="CM211" i="1"/>
  <c r="CL202" i="1"/>
  <c r="CL211" i="1"/>
  <c r="CK202" i="1"/>
  <c r="CK211" i="1"/>
  <c r="CJ202" i="1"/>
  <c r="CJ211" i="1"/>
  <c r="CI202" i="1"/>
  <c r="CI211" i="1"/>
  <c r="CH202" i="1"/>
  <c r="CH211" i="1"/>
  <c r="CC202" i="1"/>
  <c r="CC211" i="1"/>
  <c r="CB202" i="1"/>
  <c r="CB211" i="1"/>
  <c r="CA202" i="1"/>
  <c r="CA211" i="1"/>
  <c r="BZ202" i="1"/>
  <c r="BZ211" i="1"/>
  <c r="BY202" i="1"/>
  <c r="BY211" i="1"/>
  <c r="BX202" i="1"/>
  <c r="BX211" i="1"/>
  <c r="BW202" i="1"/>
  <c r="BW211" i="1"/>
  <c r="BV202" i="1"/>
  <c r="BV211" i="1"/>
  <c r="BU202" i="1"/>
  <c r="BU211" i="1"/>
  <c r="BT202" i="1"/>
  <c r="BT211" i="1"/>
  <c r="BW211" i="3"/>
  <c r="BW202" i="3"/>
  <c r="CS202" i="1"/>
  <c r="CS211" i="1"/>
  <c r="BS202" i="1"/>
  <c r="BS211" i="1"/>
  <c r="BQ202" i="1"/>
  <c r="BQ211" i="1"/>
  <c r="BP202" i="1"/>
  <c r="BP211" i="1"/>
  <c r="BO202" i="1"/>
  <c r="BO211" i="1"/>
  <c r="CI215" i="3"/>
  <c r="CH279" i="3"/>
  <c r="BN202" i="1"/>
  <c r="BN211" i="1"/>
  <c r="BM202" i="1"/>
  <c r="BM211" i="1"/>
  <c r="BL202" i="1"/>
  <c r="BL211" i="1"/>
  <c r="BK202" i="1"/>
  <c r="BK211" i="1"/>
  <c r="BJ202" i="1"/>
  <c r="BJ211" i="1"/>
  <c r="BI202" i="1"/>
  <c r="BI211" i="1"/>
  <c r="BH202" i="1"/>
  <c r="BH211" i="1"/>
  <c r="CH276" i="3"/>
  <c r="BV211" i="3"/>
  <c r="BV202" i="3"/>
  <c r="CQ257" i="1"/>
  <c r="CQ275" i="1" s="1"/>
  <c r="CR224" i="1"/>
  <c r="DE224" i="1" s="1"/>
  <c r="BG257" i="1"/>
  <c r="BG275" i="1" s="1"/>
  <c r="BH224" i="1"/>
  <c r="BD225" i="1"/>
  <c r="BB257" i="1"/>
  <c r="BA257" i="1"/>
  <c r="BB224" i="1"/>
  <c r="BD224" i="1" s="1"/>
  <c r="AZ257" i="1"/>
  <c r="BA224" i="1"/>
  <c r="AY257" i="1"/>
  <c r="AZ224" i="1"/>
  <c r="AX257" i="1"/>
  <c r="AY224" i="1"/>
  <c r="AW257" i="1"/>
  <c r="AX224" i="1"/>
  <c r="O65" i="3"/>
  <c r="AQ202" i="3"/>
  <c r="C65" i="3"/>
  <c r="BA202" i="1"/>
  <c r="AZ202" i="1"/>
  <c r="AZ211" i="1"/>
  <c r="AY202" i="1"/>
  <c r="AY211" i="1"/>
  <c r="AX202" i="1"/>
  <c r="AX211" i="1"/>
  <c r="AW202" i="1"/>
  <c r="AW211" i="1"/>
  <c r="AV202" i="1"/>
  <c r="AV211" i="1"/>
  <c r="AU211" i="1"/>
  <c r="AR202" i="1"/>
  <c r="AR211" i="1"/>
  <c r="N65" i="1"/>
  <c r="AP211" i="1"/>
  <c r="M65" i="1"/>
  <c r="AN202" i="1"/>
  <c r="AN211" i="1"/>
  <c r="K65" i="1"/>
  <c r="AM202" i="1"/>
  <c r="AM211" i="1"/>
  <c r="J65" i="1"/>
  <c r="AL202" i="1"/>
  <c r="I65" i="1"/>
  <c r="H65" i="1"/>
  <c r="AI202" i="1"/>
  <c r="AI211" i="1"/>
  <c r="F65" i="1"/>
  <c r="AH202" i="1"/>
  <c r="AH211" i="1"/>
  <c r="E65" i="1"/>
  <c r="AG202" i="1"/>
  <c r="AG211" i="1"/>
  <c r="D65" i="1"/>
  <c r="AV257" i="1"/>
  <c r="AW224" i="1"/>
  <c r="AU257" i="1"/>
  <c r="AV224" i="1"/>
  <c r="AT257" i="1"/>
  <c r="AU224" i="1"/>
  <c r="AS257" i="1"/>
  <c r="AT224" i="1"/>
  <c r="AR257" i="1"/>
  <c r="AS224" i="1"/>
  <c r="BC225" i="1"/>
  <c r="AP257" i="1"/>
  <c r="AP275" i="1" s="1"/>
  <c r="AQ224" i="1"/>
  <c r="AO257" i="1"/>
  <c r="AO275" i="1" s="1"/>
  <c r="AP224" i="1"/>
  <c r="BC224" i="1" s="1"/>
  <c r="AN257" i="1"/>
  <c r="AN275" i="1" s="1"/>
  <c r="AO224" i="1"/>
  <c r="AM257" i="1"/>
  <c r="AM275" i="1" s="1"/>
  <c r="AN224" i="1"/>
  <c r="AL257" i="1"/>
  <c r="AL275" i="1" s="1"/>
  <c r="AM224" i="1"/>
  <c r="AK257" i="1"/>
  <c r="AK275" i="1" s="1"/>
  <c r="AL224" i="1"/>
  <c r="AJ257" i="1"/>
  <c r="AJ275" i="1" s="1"/>
  <c r="AK224" i="1"/>
  <c r="AI257" i="1"/>
  <c r="AI275" i="1" s="1"/>
  <c r="AJ224" i="1"/>
  <c r="AH257" i="1"/>
  <c r="AH275" i="1" s="1"/>
  <c r="AI224" i="1"/>
  <c r="AG257" i="1"/>
  <c r="AG275" i="1" s="1"/>
  <c r="AH224" i="1"/>
  <c r="AF257" i="1"/>
  <c r="AF275" i="1" s="1"/>
  <c r="AG224" i="1"/>
  <c r="AQ211" i="3"/>
  <c r="AE202" i="3"/>
  <c r="AE211" i="3"/>
  <c r="BG202" i="1"/>
  <c r="BG211" i="1"/>
  <c r="BB202" i="1"/>
  <c r="BB211" i="1"/>
  <c r="BA211" i="1"/>
  <c r="AU202" i="1"/>
  <c r="AT202" i="1"/>
  <c r="AT211" i="1"/>
  <c r="AS202" i="1"/>
  <c r="AS211" i="1"/>
  <c r="AP202" i="1"/>
  <c r="AO202" i="1"/>
  <c r="AO211" i="1"/>
  <c r="L65" i="1"/>
  <c r="AL211" i="1"/>
  <c r="AK202" i="1"/>
  <c r="AK211" i="1"/>
  <c r="AJ202" i="1"/>
  <c r="AJ211" i="1"/>
  <c r="G65" i="1"/>
  <c r="AF202" i="1"/>
  <c r="AF211" i="1"/>
  <c r="CX202" i="1"/>
  <c r="CX211" i="1"/>
  <c r="CQ202" i="1"/>
  <c r="CQ211" i="1"/>
  <c r="G65" i="3"/>
  <c r="AI211" i="3"/>
  <c r="AI202" i="3"/>
  <c r="DA202" i="1"/>
  <c r="DA211" i="1"/>
  <c r="CZ202" i="1"/>
  <c r="CZ211" i="1"/>
  <c r="CY202" i="1"/>
  <c r="CY211" i="1"/>
  <c r="DF201" i="1"/>
  <c r="DF202" i="1"/>
  <c r="CX257" i="1"/>
  <c r="CX275" i="1" s="1"/>
  <c r="CY224" i="1"/>
  <c r="CC202" i="3"/>
  <c r="CC211" i="3"/>
  <c r="BT202" i="3"/>
  <c r="BT211" i="3"/>
  <c r="BR202" i="3"/>
  <c r="BR211" i="3"/>
  <c r="BP202" i="3"/>
  <c r="BP211" i="3"/>
  <c r="BO202" i="3"/>
  <c r="BO211" i="3"/>
  <c r="BN202" i="3"/>
  <c r="BN211" i="3"/>
  <c r="BM202" i="3"/>
  <c r="BM211" i="3"/>
  <c r="BL202" i="3"/>
  <c r="BL211" i="3"/>
  <c r="BK202" i="3"/>
  <c r="BK211" i="3"/>
  <c r="U65" i="3"/>
  <c r="AW211" i="3"/>
  <c r="AW202" i="3"/>
  <c r="AV211" i="3"/>
  <c r="BU211" i="3"/>
  <c r="BU202" i="3"/>
  <c r="BS211" i="3"/>
  <c r="BS202" i="3"/>
  <c r="BQ202" i="3"/>
  <c r="BQ211" i="3"/>
  <c r="BJ202" i="3"/>
  <c r="BJ211" i="3"/>
  <c r="BH211" i="3"/>
  <c r="BG202" i="3"/>
  <c r="BG211" i="3"/>
  <c r="Z65" i="3"/>
  <c r="BB202" i="3"/>
  <c r="BB211" i="3"/>
  <c r="X65" i="3"/>
  <c r="AZ202" i="3"/>
  <c r="AZ211" i="3"/>
  <c r="M65" i="3"/>
  <c r="AO202" i="3"/>
  <c r="AO211" i="3"/>
  <c r="K65" i="3"/>
  <c r="AM202" i="3"/>
  <c r="AM211" i="3"/>
  <c r="I65" i="3"/>
  <c r="AK211" i="3"/>
  <c r="AK202" i="3"/>
  <c r="DC202" i="1"/>
  <c r="DC211" i="1"/>
  <c r="DB202" i="1"/>
  <c r="DB211" i="1"/>
  <c r="DE201" i="1"/>
  <c r="CG202" i="1"/>
  <c r="DE202" i="1"/>
  <c r="CG211" i="1"/>
  <c r="Y65" i="3"/>
  <c r="BA211" i="3"/>
  <c r="V65" i="3"/>
  <c r="AX202" i="3"/>
  <c r="AX211" i="3"/>
  <c r="T65" i="3"/>
  <c r="AV202" i="3"/>
  <c r="BA202" i="3"/>
  <c r="DB226" i="3"/>
  <c r="BU226" i="3"/>
  <c r="BQ226" i="3"/>
  <c r="BP226" i="3"/>
  <c r="BN226" i="3"/>
  <c r="BK226" i="3"/>
  <c r="BJ226" i="3"/>
  <c r="BI226" i="3"/>
  <c r="BB226" i="3"/>
  <c r="BA226" i="3"/>
  <c r="DD226" i="3"/>
  <c r="BO226" i="3"/>
  <c r="BM226" i="3"/>
  <c r="Y112" i="3"/>
  <c r="M112" i="3"/>
  <c r="K112" i="3"/>
  <c r="I112" i="3"/>
  <c r="DC211" i="3"/>
  <c r="DC202" i="3"/>
  <c r="CS211" i="3"/>
  <c r="CS202" i="3"/>
  <c r="CO211" i="3"/>
  <c r="CO202" i="3"/>
  <c r="CI211" i="3"/>
  <c r="CI202" i="3"/>
  <c r="CG211" i="3"/>
  <c r="CG202" i="3"/>
  <c r="CD201" i="1"/>
  <c r="BF202" i="1"/>
  <c r="CD202" i="1"/>
  <c r="BF211" i="1"/>
  <c r="BD201" i="1"/>
  <c r="AQ202" i="1"/>
  <c r="BD202" i="1"/>
  <c r="AQ211" i="1"/>
  <c r="C65" i="1"/>
  <c r="BC201" i="1"/>
  <c r="AB65" i="1" s="1"/>
  <c r="AE202" i="1"/>
  <c r="C66" i="1" s="1"/>
  <c r="BC202" i="1"/>
  <c r="AB66" i="1" s="1"/>
  <c r="AE211" i="1"/>
  <c r="DE257" i="3"/>
  <c r="CE257" i="3"/>
  <c r="CD257" i="3"/>
  <c r="X112" i="3"/>
  <c r="V112" i="3"/>
  <c r="T112" i="3"/>
  <c r="R112" i="3"/>
  <c r="P112" i="3"/>
  <c r="N112" i="3"/>
  <c r="BC257" i="3"/>
  <c r="DA211" i="3"/>
  <c r="DA202" i="3"/>
  <c r="CZ211" i="3"/>
  <c r="CZ202" i="3"/>
  <c r="CX202" i="3"/>
  <c r="CX211" i="3"/>
  <c r="CV202" i="3"/>
  <c r="CV211" i="3"/>
  <c r="CT202" i="3"/>
  <c r="CT211" i="3"/>
  <c r="CR202" i="3"/>
  <c r="CR211" i="3"/>
  <c r="CP202" i="3"/>
  <c r="CP211" i="3"/>
  <c r="CN202" i="3"/>
  <c r="CN211" i="3"/>
  <c r="CL202" i="3"/>
  <c r="CL211" i="3"/>
  <c r="CJ202" i="3"/>
  <c r="CJ211" i="3"/>
  <c r="CH202" i="3"/>
  <c r="CH211" i="3"/>
  <c r="CB202" i="3"/>
  <c r="CB211" i="3"/>
  <c r="BZ202" i="3"/>
  <c r="BZ211" i="3"/>
  <c r="BA223" i="3"/>
  <c r="R65" i="3"/>
  <c r="AT202" i="3"/>
  <c r="AT211" i="3"/>
  <c r="AT223" i="3"/>
  <c r="P65" i="3"/>
  <c r="AR202" i="3"/>
  <c r="AR211" i="3"/>
  <c r="AR223" i="3"/>
  <c r="N65" i="3"/>
  <c r="AP202" i="3"/>
  <c r="AP211" i="3"/>
  <c r="AP223" i="3"/>
  <c r="AN223" i="3"/>
  <c r="AL223" i="3"/>
  <c r="AJ223" i="3"/>
  <c r="AH223" i="3"/>
  <c r="AF223" i="3"/>
  <c r="DF257" i="1"/>
  <c r="CO226" i="3"/>
  <c r="CI226" i="3"/>
  <c r="BV226" i="3"/>
  <c r="CY226" i="3"/>
  <c r="CW226" i="3"/>
  <c r="CU226" i="3"/>
  <c r="CQ226" i="3"/>
  <c r="CM226" i="3"/>
  <c r="CK226" i="3"/>
  <c r="CA226" i="3"/>
  <c r="CC226" i="3"/>
  <c r="DD226" i="1"/>
  <c r="DC226" i="1"/>
  <c r="DB226" i="1"/>
  <c r="DA226" i="1"/>
  <c r="CZ226" i="1"/>
  <c r="BT226" i="3"/>
  <c r="BL226" i="3"/>
  <c r="BH226" i="3"/>
  <c r="DA226" i="3"/>
  <c r="BI202" i="3"/>
  <c r="BI211" i="3"/>
  <c r="BH202" i="3"/>
  <c r="CD201" i="3"/>
  <c r="BF202" i="3"/>
  <c r="CD202" i="3"/>
  <c r="BF211" i="3"/>
  <c r="DD202" i="1"/>
  <c r="DD211" i="1"/>
  <c r="DD223" i="3"/>
  <c r="CX223" i="3"/>
  <c r="BR223" i="3"/>
  <c r="BK223" i="3"/>
  <c r="AP226" i="3"/>
  <c r="BC224" i="3"/>
  <c r="CZ223" i="3"/>
  <c r="CY223" i="3"/>
  <c r="CW223" i="3"/>
  <c r="CU223" i="3"/>
  <c r="CS223" i="3"/>
  <c r="CQ223" i="3"/>
  <c r="CO223" i="3"/>
  <c r="CM223" i="3"/>
  <c r="CK223" i="3"/>
  <c r="CI223" i="3"/>
  <c r="CC223" i="3"/>
  <c r="CA223" i="3"/>
  <c r="BY223" i="3"/>
  <c r="BW223" i="3"/>
  <c r="BU223" i="3"/>
  <c r="AS223" i="1"/>
  <c r="CE201" i="3"/>
  <c r="CE202" i="3"/>
  <c r="CI265" i="3"/>
  <c r="CJ263" i="3"/>
  <c r="CJ264" i="3" s="1"/>
  <c r="BH265" i="3"/>
  <c r="BI263" i="3"/>
  <c r="BI264" i="3" s="1"/>
  <c r="D119" i="3"/>
  <c r="AG265" i="3"/>
  <c r="AH263" i="3"/>
  <c r="AH264" i="3" s="1"/>
  <c r="BG279" i="3"/>
  <c r="BG276" i="3"/>
  <c r="BH215" i="3"/>
  <c r="D77" i="3"/>
  <c r="AF279" i="3"/>
  <c r="D116" i="3"/>
  <c r="AF293" i="3"/>
  <c r="AF276" i="3"/>
  <c r="AG215" i="3"/>
  <c r="BH255" i="3"/>
  <c r="BI253" i="3"/>
  <c r="BI254" i="3" s="1"/>
  <c r="BH278" i="3"/>
  <c r="CS226" i="3"/>
  <c r="CT224" i="3"/>
  <c r="CT226" i="3" s="1"/>
  <c r="CS257" i="3"/>
  <c r="CS275" i="3" s="1"/>
  <c r="CG226" i="3"/>
  <c r="CG257" i="3"/>
  <c r="CG275" i="3" s="1"/>
  <c r="CH224" i="3"/>
  <c r="CH226" i="3" s="1"/>
  <c r="BR257" i="3"/>
  <c r="BR275" i="3" s="1"/>
  <c r="BR226" i="3"/>
  <c r="BS224" i="3"/>
  <c r="BS226" i="3" s="1"/>
  <c r="BF226" i="3"/>
  <c r="BG224" i="3"/>
  <c r="BG226" i="3" s="1"/>
  <c r="BF257" i="3"/>
  <c r="BF275" i="3" s="1"/>
  <c r="AQ257" i="3"/>
  <c r="AQ275" i="3" s="1"/>
  <c r="AQ226" i="3"/>
  <c r="AR224" i="3"/>
  <c r="AR226" i="3" s="1"/>
  <c r="AE226" i="3"/>
  <c r="AE257" i="3"/>
  <c r="AE275" i="3" s="1"/>
  <c r="AF224" i="3"/>
  <c r="AF226" i="3" s="1"/>
  <c r="CE250" i="3"/>
  <c r="CC274" i="3"/>
  <c r="CE274" i="3" s="1"/>
  <c r="BQ274" i="3"/>
  <c r="CD250" i="3"/>
  <c r="Z106" i="3"/>
  <c r="Z131" i="3"/>
  <c r="AB131" i="3"/>
  <c r="AC131" i="3"/>
  <c r="BD250" i="3"/>
  <c r="C150" i="3"/>
  <c r="O150" i="3" s="1"/>
  <c r="BB274" i="3"/>
  <c r="X106" i="3"/>
  <c r="X131" i="3"/>
  <c r="AZ274" i="3"/>
  <c r="Q106" i="3"/>
  <c r="AS274" i="3"/>
  <c r="O106" i="3"/>
  <c r="AQ274" i="3"/>
  <c r="M106" i="3"/>
  <c r="M131" i="3"/>
  <c r="AO274" i="3"/>
  <c r="K106" i="3"/>
  <c r="K131" i="3"/>
  <c r="AM274" i="3"/>
  <c r="I106" i="3"/>
  <c r="I131" i="3"/>
  <c r="AK274" i="3"/>
  <c r="G106" i="3"/>
  <c r="AI274" i="3"/>
  <c r="E106" i="3"/>
  <c r="AG274" i="3"/>
  <c r="C85" i="3"/>
  <c r="C132" i="3"/>
  <c r="C106" i="3"/>
  <c r="AE274" i="3"/>
  <c r="CS257" i="1"/>
  <c r="CS275" i="1" s="1"/>
  <c r="CT224" i="1"/>
  <c r="CT226" i="1" s="1"/>
  <c r="CG226" i="1"/>
  <c r="CG257" i="1"/>
  <c r="CG275" i="1" s="1"/>
  <c r="CH224" i="1"/>
  <c r="CH226" i="1" s="1"/>
  <c r="BR257" i="1"/>
  <c r="BR275" i="1" s="1"/>
  <c r="BS224" i="1"/>
  <c r="BS226" i="1" s="1"/>
  <c r="BF226" i="1"/>
  <c r="BF257" i="1"/>
  <c r="BF275" i="1" s="1"/>
  <c r="BG224" i="1"/>
  <c r="BG226" i="1" s="1"/>
  <c r="AQ257" i="1"/>
  <c r="AR224" i="1"/>
  <c r="AR226" i="1" s="1"/>
  <c r="AE226" i="1"/>
  <c r="AE257" i="1"/>
  <c r="AE275" i="1" s="1"/>
  <c r="AF224" i="1"/>
  <c r="AF226" i="1" s="1"/>
  <c r="DF250" i="1"/>
  <c r="DD274" i="1"/>
  <c r="DF274" i="1" s="1"/>
  <c r="DE250" i="1"/>
  <c r="CR274" i="1"/>
  <c r="DE274" i="1" s="1"/>
  <c r="CE250" i="1"/>
  <c r="CC274" i="1"/>
  <c r="CE274" i="1" s="1"/>
  <c r="CD250" i="1"/>
  <c r="BQ274" i="1"/>
  <c r="CD274" i="1" s="1"/>
  <c r="BB274" i="1"/>
  <c r="BD250" i="1"/>
  <c r="AC106" i="1" s="1"/>
  <c r="BC250" i="1"/>
  <c r="AB106" i="1" s="1"/>
  <c r="AP274" i="1"/>
  <c r="N106" i="1"/>
  <c r="AO274" i="1"/>
  <c r="M106" i="1"/>
  <c r="L106" i="1"/>
  <c r="AN274" i="1"/>
  <c r="AM274" i="1"/>
  <c r="K106" i="1"/>
  <c r="AL274" i="1"/>
  <c r="J106" i="1"/>
  <c r="AK274" i="1"/>
  <c r="I106" i="1"/>
  <c r="H106" i="1"/>
  <c r="AJ274" i="1"/>
  <c r="AI274" i="1"/>
  <c r="G106" i="1"/>
  <c r="AH274" i="1"/>
  <c r="F106" i="1"/>
  <c r="AG274" i="1"/>
  <c r="E106" i="1"/>
  <c r="D106" i="1"/>
  <c r="AF274" i="1"/>
  <c r="C85" i="1"/>
  <c r="C132" i="1"/>
  <c r="AE274" i="1"/>
  <c r="C106" i="1"/>
  <c r="DF250" i="3"/>
  <c r="DD274" i="3"/>
  <c r="CR274" i="3"/>
  <c r="DE274" i="3" s="1"/>
  <c r="DE250" i="3"/>
  <c r="Y106" i="3"/>
  <c r="Y131" i="3"/>
  <c r="BA274" i="3"/>
  <c r="W106" i="3"/>
  <c r="AY274" i="3"/>
  <c r="V106" i="3"/>
  <c r="V131" i="3"/>
  <c r="AX274" i="3"/>
  <c r="U106" i="3"/>
  <c r="AW274" i="3"/>
  <c r="T106" i="3"/>
  <c r="T131" i="3"/>
  <c r="AV274" i="3"/>
  <c r="S106" i="3"/>
  <c r="AU274" i="3"/>
  <c r="R106" i="3"/>
  <c r="R131" i="3"/>
  <c r="AT274" i="3"/>
  <c r="P106" i="3"/>
  <c r="P131" i="3"/>
  <c r="AR274" i="3"/>
  <c r="N106" i="3"/>
  <c r="N131" i="3"/>
  <c r="BC250" i="3"/>
  <c r="AP274" i="3"/>
  <c r="L106" i="3"/>
  <c r="L131" i="3"/>
  <c r="AN274" i="3"/>
  <c r="J106" i="3"/>
  <c r="J131" i="3"/>
  <c r="AL274" i="3"/>
  <c r="H106" i="3"/>
  <c r="H131" i="3"/>
  <c r="AJ274" i="3"/>
  <c r="F106" i="3"/>
  <c r="F131" i="3"/>
  <c r="AH274" i="3"/>
  <c r="D106" i="3"/>
  <c r="D131" i="3"/>
  <c r="AF274" i="3"/>
  <c r="CI265" i="1"/>
  <c r="CJ263" i="1"/>
  <c r="CJ264" i="1" s="1"/>
  <c r="BH265" i="1"/>
  <c r="BI263" i="1"/>
  <c r="BI264" i="1" s="1"/>
  <c r="D119" i="1"/>
  <c r="AG265" i="1"/>
  <c r="AH263" i="1"/>
  <c r="AH264" i="1" s="1"/>
  <c r="CH279" i="1"/>
  <c r="CH276" i="1"/>
  <c r="CI215" i="1"/>
  <c r="BG279" i="1"/>
  <c r="BG276" i="1"/>
  <c r="BH215" i="1"/>
  <c r="D77" i="1"/>
  <c r="AF279" i="1"/>
  <c r="AF293" i="1"/>
  <c r="AF276" i="1"/>
  <c r="D116" i="1"/>
  <c r="AG215" i="1"/>
  <c r="CI255" i="1"/>
  <c r="CI278" i="1"/>
  <c r="CJ253" i="1"/>
  <c r="CJ254" i="1" s="1"/>
  <c r="BH255" i="1"/>
  <c r="BH278" i="1"/>
  <c r="BI253" i="1"/>
  <c r="BI254" i="1" s="1"/>
  <c r="AG255" i="1"/>
  <c r="E109" i="1" s="1"/>
  <c r="AG278" i="1"/>
  <c r="AH253" i="1"/>
  <c r="AH254" i="1" s="1"/>
  <c r="CI255" i="3"/>
  <c r="CJ253" i="3"/>
  <c r="CJ254" i="3" s="1"/>
  <c r="CI278" i="3"/>
  <c r="AG278" i="3"/>
  <c r="AG255" i="3"/>
  <c r="E109" i="3" s="1"/>
  <c r="AH253" i="3"/>
  <c r="AH254" i="3" s="1"/>
  <c r="AX224" i="3"/>
  <c r="AX226" i="3" s="1"/>
  <c r="AW257" i="3"/>
  <c r="AW275" i="3" s="1"/>
  <c r="AW226" i="3"/>
  <c r="AI257" i="3"/>
  <c r="AI275" i="3" s="1"/>
  <c r="AI226" i="3"/>
  <c r="AJ224" i="3"/>
  <c r="AJ226" i="3" s="1"/>
  <c r="CR226" i="3"/>
  <c r="DE224" i="3"/>
  <c r="AZ224" i="3"/>
  <c r="AZ226" i="3" s="1"/>
  <c r="AY226" i="3"/>
  <c r="AY257" i="3"/>
  <c r="AY275" i="3" s="1"/>
  <c r="AU226" i="3"/>
  <c r="AU257" i="3"/>
  <c r="AU275" i="3" s="1"/>
  <c r="AV224" i="3"/>
  <c r="AV226" i="3" s="1"/>
  <c r="AS226" i="3"/>
  <c r="AS257" i="3"/>
  <c r="AS275" i="3" s="1"/>
  <c r="AT224" i="3"/>
  <c r="AT226" i="3" s="1"/>
  <c r="AG226" i="3"/>
  <c r="AH224" i="3"/>
  <c r="AH226" i="3" s="1"/>
  <c r="AG257" i="3"/>
  <c r="AG275" i="3" s="1"/>
  <c r="CK202" i="3"/>
  <c r="CK211" i="3"/>
  <c r="BY202" i="3"/>
  <c r="BY211" i="3"/>
  <c r="BR211" i="1"/>
  <c r="CE202" i="1"/>
  <c r="BR202" i="1"/>
  <c r="CE201" i="1"/>
  <c r="CM211" i="3"/>
  <c r="CM202" i="3"/>
  <c r="AS211" i="3"/>
  <c r="AS202" i="3"/>
  <c r="Q65" i="3"/>
  <c r="AG211" i="3"/>
  <c r="AG202" i="3"/>
  <c r="E65" i="3"/>
  <c r="AY202" i="3"/>
  <c r="AY211" i="3"/>
  <c r="W65" i="3"/>
  <c r="CQ202" i="3"/>
  <c r="CQ211" i="3"/>
  <c r="CA202" i="3"/>
  <c r="CA211" i="3"/>
  <c r="CY211" i="3"/>
  <c r="CY202" i="3"/>
  <c r="CW202" i="3"/>
  <c r="CW211" i="3"/>
  <c r="CU211" i="3"/>
  <c r="CU202" i="3"/>
  <c r="BX211" i="3"/>
  <c r="BX202" i="3"/>
  <c r="AU202" i="3"/>
  <c r="AU211" i="3"/>
  <c r="S65" i="3"/>
  <c r="DF202" i="3"/>
  <c r="DF201" i="3"/>
  <c r="DE201" i="3"/>
  <c r="BG223" i="3"/>
  <c r="AS223" i="3"/>
  <c r="AQ223" i="3"/>
  <c r="BD201" i="3"/>
  <c r="BD202" i="3"/>
  <c r="AO223" i="3"/>
  <c r="AM223" i="3"/>
  <c r="AK223" i="3"/>
  <c r="AI223" i="3"/>
  <c r="AG223" i="3"/>
  <c r="BC201" i="3"/>
  <c r="BC202" i="3"/>
  <c r="DD223" i="1"/>
  <c r="DC223" i="1"/>
  <c r="DB223" i="1"/>
  <c r="DA223" i="1"/>
  <c r="CZ223" i="1"/>
  <c r="CY223" i="1"/>
  <c r="CX223" i="1"/>
  <c r="CW223" i="1"/>
  <c r="CV223" i="1"/>
  <c r="CU223" i="1"/>
  <c r="CT223" i="1"/>
  <c r="CS223" i="1"/>
  <c r="CR223" i="1"/>
  <c r="CQ223" i="1"/>
  <c r="CP223" i="1"/>
  <c r="CO223" i="1"/>
  <c r="CN223" i="1"/>
  <c r="CM223" i="1"/>
  <c r="CL223" i="1"/>
  <c r="CK223" i="1"/>
  <c r="CJ223" i="1"/>
  <c r="CI223" i="1"/>
  <c r="CH223" i="1"/>
  <c r="BK223" i="1"/>
  <c r="BI223" i="1"/>
  <c r="AZ223" i="1"/>
  <c r="AY223" i="1"/>
  <c r="AW223" i="1"/>
  <c r="AV223" i="1"/>
  <c r="AT223" i="1"/>
  <c r="AN223" i="1"/>
  <c r="AM223" i="1"/>
  <c r="AL223" i="1"/>
  <c r="AK223" i="1"/>
  <c r="AI223" i="1"/>
  <c r="AG223" i="1"/>
  <c r="AF223" i="1"/>
  <c r="BP223" i="3"/>
  <c r="BN223" i="3"/>
  <c r="AX223" i="3"/>
  <c r="CC223" i="1"/>
  <c r="CB223" i="1"/>
  <c r="CA223" i="1"/>
  <c r="BZ223" i="1"/>
  <c r="BY223" i="1"/>
  <c r="BX223" i="1"/>
  <c r="BW223" i="1"/>
  <c r="BV223" i="1"/>
  <c r="BU223" i="1"/>
  <c r="BT223" i="1"/>
  <c r="BS223" i="1"/>
  <c r="BR223" i="1"/>
  <c r="BQ223" i="1"/>
  <c r="BP223" i="1"/>
  <c r="BO223" i="1"/>
  <c r="BN223" i="1"/>
  <c r="BM223" i="1"/>
  <c r="BL223" i="1"/>
  <c r="BJ223" i="1"/>
  <c r="BH223" i="1"/>
  <c r="BG223" i="1"/>
  <c r="BB223" i="1"/>
  <c r="BA223" i="1"/>
  <c r="AX223" i="1"/>
  <c r="AU223" i="1"/>
  <c r="AO223" i="1"/>
  <c r="AJ223" i="1"/>
  <c r="AH223" i="1"/>
  <c r="DB223" i="3"/>
  <c r="DA223" i="3"/>
  <c r="BO223" i="3"/>
  <c r="BM223" i="3"/>
  <c r="BL223" i="3"/>
  <c r="AU223" i="3"/>
  <c r="AR223" i="1"/>
  <c r="AQ223" i="1"/>
  <c r="AP223" i="1"/>
  <c r="CV223" i="3"/>
  <c r="CT223" i="3"/>
  <c r="CR223" i="3"/>
  <c r="CP223" i="3"/>
  <c r="CN223" i="3"/>
  <c r="CL223" i="3"/>
  <c r="CJ223" i="3"/>
  <c r="CH223" i="3"/>
  <c r="CB223" i="3"/>
  <c r="BZ223" i="3"/>
  <c r="BX223" i="3"/>
  <c r="BV223" i="3"/>
  <c r="BT223" i="3"/>
  <c r="BY226" i="3"/>
  <c r="BB223" i="3"/>
  <c r="AY223" i="3"/>
  <c r="AW223" i="3"/>
  <c r="BJ223" i="3"/>
  <c r="BI223" i="3"/>
  <c r="AV223" i="3"/>
  <c r="DC223" i="3"/>
  <c r="DE202" i="3"/>
  <c r="BS223" i="3"/>
  <c r="BQ223" i="3"/>
  <c r="BH223" i="3"/>
  <c r="AZ223" i="3"/>
  <c r="AC112" i="3" l="1"/>
  <c r="AB106" i="3"/>
  <c r="R66" i="3"/>
  <c r="P66" i="3"/>
  <c r="N66" i="3"/>
  <c r="L86" i="3"/>
  <c r="L133" i="3"/>
  <c r="J86" i="3"/>
  <c r="J133" i="3"/>
  <c r="L66" i="3"/>
  <c r="J66" i="3"/>
  <c r="D66" i="3"/>
  <c r="H66" i="3"/>
  <c r="D66" i="1"/>
  <c r="Z66" i="3"/>
  <c r="M66" i="3"/>
  <c r="K66" i="3"/>
  <c r="I66" i="3"/>
  <c r="AC106" i="3"/>
  <c r="U66" i="1"/>
  <c r="P66" i="1"/>
  <c r="L66" i="1"/>
  <c r="K66" i="1"/>
  <c r="J66" i="1"/>
  <c r="G66" i="1"/>
  <c r="F66" i="1"/>
  <c r="E66" i="1"/>
  <c r="S66" i="1"/>
  <c r="R66" i="1"/>
  <c r="Q66" i="1"/>
  <c r="N66" i="1"/>
  <c r="I66" i="1"/>
  <c r="H66" i="1"/>
  <c r="V66" i="3"/>
  <c r="T66" i="3"/>
  <c r="AB112" i="3"/>
  <c r="S66" i="3"/>
  <c r="AC65" i="3"/>
  <c r="AC66" i="3"/>
  <c r="AB65" i="3"/>
  <c r="AB66" i="3"/>
  <c r="F66" i="3"/>
  <c r="O66" i="3"/>
  <c r="C66" i="3"/>
  <c r="G66" i="3"/>
  <c r="U66" i="3"/>
  <c r="X66" i="3"/>
  <c r="Y66" i="3"/>
  <c r="Q66" i="3"/>
  <c r="E66" i="3"/>
  <c r="W66" i="3"/>
  <c r="Z112" i="1"/>
  <c r="BB275" i="1"/>
  <c r="Y112" i="1"/>
  <c r="BA275" i="1"/>
  <c r="X112" i="1"/>
  <c r="AZ275" i="1"/>
  <c r="W112" i="1"/>
  <c r="AY275" i="1"/>
  <c r="V112" i="1"/>
  <c r="AX275" i="1"/>
  <c r="U112" i="1"/>
  <c r="AW275" i="1"/>
  <c r="T112" i="1"/>
  <c r="AV275" i="1"/>
  <c r="S112" i="1"/>
  <c r="AU275" i="1"/>
  <c r="R112" i="1"/>
  <c r="AT275" i="1"/>
  <c r="Q112" i="1"/>
  <c r="AS275" i="1"/>
  <c r="P112" i="1"/>
  <c r="AR275" i="1"/>
  <c r="O112" i="1"/>
  <c r="AQ275" i="1"/>
  <c r="DD212" i="3"/>
  <c r="DD214" i="3"/>
  <c r="DB212" i="3"/>
  <c r="DB214" i="3"/>
  <c r="L74" i="3"/>
  <c r="L139" i="3"/>
  <c r="AN212" i="3"/>
  <c r="AN214" i="3"/>
  <c r="J74" i="3"/>
  <c r="J139" i="3"/>
  <c r="AL212" i="3"/>
  <c r="AL214" i="3"/>
  <c r="H74" i="3"/>
  <c r="H139" i="3"/>
  <c r="AJ212" i="3"/>
  <c r="AJ214" i="3"/>
  <c r="F74" i="3"/>
  <c r="F139" i="3"/>
  <c r="AH212" i="3"/>
  <c r="AH214" i="3"/>
  <c r="D74" i="3"/>
  <c r="D139" i="3"/>
  <c r="AF212" i="3"/>
  <c r="AF214" i="3"/>
  <c r="AF217" i="3" s="1"/>
  <c r="M133" i="3"/>
  <c r="M86" i="3"/>
  <c r="K133" i="3"/>
  <c r="K86" i="3"/>
  <c r="I133" i="3"/>
  <c r="I86" i="3"/>
  <c r="O131" i="1"/>
  <c r="Y66" i="1"/>
  <c r="X66" i="1"/>
  <c r="W66" i="1"/>
  <c r="V66" i="1"/>
  <c r="T66" i="1"/>
  <c r="Z66" i="1"/>
  <c r="M66" i="1"/>
  <c r="AC65" i="1"/>
  <c r="O66" i="1"/>
  <c r="AC66" i="1"/>
  <c r="AC131" i="1"/>
  <c r="Z131" i="1"/>
  <c r="Y131" i="1"/>
  <c r="X131" i="1"/>
  <c r="W131" i="1"/>
  <c r="V131" i="1"/>
  <c r="U131" i="1"/>
  <c r="T131" i="1"/>
  <c r="S131" i="1"/>
  <c r="R131" i="1"/>
  <c r="Q131" i="1"/>
  <c r="P131" i="1"/>
  <c r="CD257" i="1"/>
  <c r="BW226" i="1"/>
  <c r="BV226" i="1"/>
  <c r="BU226" i="1"/>
  <c r="BQ226" i="1"/>
  <c r="BP226" i="1"/>
  <c r="BO226" i="1"/>
  <c r="BN226" i="1"/>
  <c r="X139" i="1"/>
  <c r="X74" i="1"/>
  <c r="W139" i="1"/>
  <c r="W74" i="1"/>
  <c r="V139" i="1"/>
  <c r="V74" i="1"/>
  <c r="U139" i="1"/>
  <c r="U74" i="1"/>
  <c r="T139" i="1"/>
  <c r="T74" i="1"/>
  <c r="S139" i="1"/>
  <c r="S74" i="1"/>
  <c r="P139" i="1"/>
  <c r="P74" i="1"/>
  <c r="Z74" i="1"/>
  <c r="Z139" i="1"/>
  <c r="Y139" i="1"/>
  <c r="Y74" i="1"/>
  <c r="R74" i="1"/>
  <c r="R139" i="1"/>
  <c r="Q74" i="1"/>
  <c r="Q139" i="1"/>
  <c r="O74" i="1"/>
  <c r="O139" i="1"/>
  <c r="Q132" i="1"/>
  <c r="Q85" i="1"/>
  <c r="P86" i="1"/>
  <c r="P133" i="1"/>
  <c r="X132" i="1"/>
  <c r="X85" i="1"/>
  <c r="W85" i="1"/>
  <c r="W132" i="1"/>
  <c r="U132" i="1"/>
  <c r="U85" i="1"/>
  <c r="T85" i="1"/>
  <c r="T132" i="1"/>
  <c r="R132" i="1"/>
  <c r="R85" i="1"/>
  <c r="Z85" i="1"/>
  <c r="Z132" i="1"/>
  <c r="Y85" i="1"/>
  <c r="Y132" i="1"/>
  <c r="V132" i="1"/>
  <c r="V85" i="1"/>
  <c r="S132" i="1"/>
  <c r="S85" i="1"/>
  <c r="P132" i="1"/>
  <c r="P85" i="1"/>
  <c r="O132" i="1"/>
  <c r="O85" i="1"/>
  <c r="DE257" i="1"/>
  <c r="CE257" i="1"/>
  <c r="CX226" i="1"/>
  <c r="CW226" i="1"/>
  <c r="CV226" i="1"/>
  <c r="CU226" i="1"/>
  <c r="CQ226" i="1"/>
  <c r="CP226" i="1"/>
  <c r="CO226" i="1"/>
  <c r="CN226" i="1"/>
  <c r="CM226" i="1"/>
  <c r="CL226" i="1"/>
  <c r="CK226" i="1"/>
  <c r="CJ226" i="1"/>
  <c r="CI226" i="1"/>
  <c r="CC226" i="1"/>
  <c r="CB226" i="1"/>
  <c r="CA226" i="1"/>
  <c r="BZ226" i="1"/>
  <c r="BY226" i="1"/>
  <c r="BX226" i="1"/>
  <c r="CS226" i="1"/>
  <c r="BR226" i="1"/>
  <c r="BT226" i="1"/>
  <c r="BM226" i="1"/>
  <c r="BL226" i="1"/>
  <c r="BK226" i="1"/>
  <c r="BJ226" i="1"/>
  <c r="BI226" i="1"/>
  <c r="CW214" i="1"/>
  <c r="CW212" i="1"/>
  <c r="CV212" i="1"/>
  <c r="CV214" i="1"/>
  <c r="CU214" i="1"/>
  <c r="CU212" i="1"/>
  <c r="CT212" i="1"/>
  <c r="CT214" i="1"/>
  <c r="CR212" i="1"/>
  <c r="CN214" i="1"/>
  <c r="CM212" i="1"/>
  <c r="CM214" i="1"/>
  <c r="CL212" i="1"/>
  <c r="CL214" i="1"/>
  <c r="CK212" i="1"/>
  <c r="CJ214" i="1"/>
  <c r="CI214" i="1"/>
  <c r="CI212" i="1"/>
  <c r="CH212" i="1"/>
  <c r="CH214" i="1"/>
  <c r="CH217" i="1" s="1"/>
  <c r="CC212" i="1"/>
  <c r="CC214" i="1"/>
  <c r="CR214" i="1"/>
  <c r="CP212" i="1"/>
  <c r="CP214" i="1"/>
  <c r="CO212" i="1"/>
  <c r="CO214" i="1"/>
  <c r="CN212" i="1"/>
  <c r="CK214" i="1"/>
  <c r="CJ212" i="1"/>
  <c r="CB212" i="1"/>
  <c r="CB214" i="1"/>
  <c r="CA214" i="1"/>
  <c r="CA212" i="1"/>
  <c r="BZ212" i="1"/>
  <c r="BZ214" i="1"/>
  <c r="BY212" i="1"/>
  <c r="BY214" i="1"/>
  <c r="BX212" i="1"/>
  <c r="BX214" i="1"/>
  <c r="BW212" i="1"/>
  <c r="BW214" i="1"/>
  <c r="BV214" i="1"/>
  <c r="BV212" i="1"/>
  <c r="BU214" i="1"/>
  <c r="BU212" i="1"/>
  <c r="BT212" i="1"/>
  <c r="BT214" i="1"/>
  <c r="BD257" i="1"/>
  <c r="BH226" i="1"/>
  <c r="BB226" i="1"/>
  <c r="BA226" i="1"/>
  <c r="AZ226" i="1"/>
  <c r="AY226" i="1"/>
  <c r="AX226" i="1"/>
  <c r="AP226" i="1"/>
  <c r="CS212" i="1"/>
  <c r="CI261" i="3"/>
  <c r="BW212" i="3"/>
  <c r="BW214" i="3"/>
  <c r="CS214" i="1"/>
  <c r="CI216" i="3"/>
  <c r="BS212" i="1"/>
  <c r="BS214" i="1"/>
  <c r="BQ212" i="1"/>
  <c r="BQ214" i="1"/>
  <c r="BP212" i="1"/>
  <c r="BP214" i="1"/>
  <c r="BO214" i="1"/>
  <c r="BO212" i="1"/>
  <c r="BN214" i="1"/>
  <c r="BN212" i="1"/>
  <c r="BM214" i="1"/>
  <c r="BM212" i="1"/>
  <c r="BL212" i="1"/>
  <c r="BL214" i="1"/>
  <c r="BK212" i="1"/>
  <c r="BK214" i="1"/>
  <c r="BJ212" i="1"/>
  <c r="BJ214" i="1"/>
  <c r="BI212" i="1"/>
  <c r="BI214" i="1"/>
  <c r="BH212" i="1"/>
  <c r="BH214" i="1"/>
  <c r="BV212" i="3"/>
  <c r="BV214" i="3"/>
  <c r="BC257" i="1"/>
  <c r="N112" i="1"/>
  <c r="M112" i="1"/>
  <c r="L112" i="1"/>
  <c r="K112" i="1"/>
  <c r="J112" i="1"/>
  <c r="I112" i="1"/>
  <c r="H112" i="1"/>
  <c r="G112" i="1"/>
  <c r="F112" i="1"/>
  <c r="E112" i="1"/>
  <c r="D112" i="1"/>
  <c r="AW226" i="1"/>
  <c r="AV226" i="1"/>
  <c r="AU226" i="1"/>
  <c r="AT226" i="1"/>
  <c r="AS226" i="1"/>
  <c r="AO226" i="1"/>
  <c r="AN226" i="1"/>
  <c r="AM226" i="1"/>
  <c r="AL226" i="1"/>
  <c r="AK226" i="1"/>
  <c r="AJ226" i="1"/>
  <c r="AI226" i="1"/>
  <c r="AH226" i="1"/>
  <c r="AG226" i="1"/>
  <c r="CR226" i="1"/>
  <c r="AF282" i="3"/>
  <c r="O74" i="3"/>
  <c r="O139" i="3"/>
  <c r="AQ212" i="3"/>
  <c r="AQ214" i="3"/>
  <c r="AE282" i="3"/>
  <c r="C74" i="3"/>
  <c r="C139" i="3"/>
  <c r="AE212" i="3"/>
  <c r="AE214" i="3"/>
  <c r="AE280" i="3"/>
  <c r="AQ226" i="1"/>
  <c r="CX214" i="1"/>
  <c r="CX212" i="1"/>
  <c r="CQ214" i="1"/>
  <c r="CQ212" i="1"/>
  <c r="BG212" i="1"/>
  <c r="BG214" i="1"/>
  <c r="BG217" i="1" s="1"/>
  <c r="BB214" i="1"/>
  <c r="BB212" i="1"/>
  <c r="BA212" i="1"/>
  <c r="BA214" i="1"/>
  <c r="AZ212" i="1"/>
  <c r="AZ214" i="1"/>
  <c r="AY212" i="1"/>
  <c r="AY214" i="1"/>
  <c r="AX212" i="1"/>
  <c r="AX214" i="1"/>
  <c r="AW212" i="1"/>
  <c r="AW214" i="1"/>
  <c r="AV212" i="1"/>
  <c r="AV214" i="1"/>
  <c r="AU212" i="1"/>
  <c r="AU214" i="1"/>
  <c r="AT212" i="1"/>
  <c r="AT214" i="1"/>
  <c r="AS212" i="1"/>
  <c r="AS214" i="1"/>
  <c r="AR214" i="1"/>
  <c r="AR212" i="1"/>
  <c r="N74" i="1"/>
  <c r="N139" i="1"/>
  <c r="AP214" i="1"/>
  <c r="AP212" i="1"/>
  <c r="N131" i="1"/>
  <c r="AB131" i="1"/>
  <c r="C150" i="1"/>
  <c r="O150" i="1" s="1"/>
  <c r="M74" i="1"/>
  <c r="M139" i="1"/>
  <c r="AO214" i="1"/>
  <c r="AO212" i="1"/>
  <c r="M131" i="1"/>
  <c r="L74" i="1"/>
  <c r="AN214" i="1"/>
  <c r="AN212" i="1"/>
  <c r="L139" i="1"/>
  <c r="L131" i="1"/>
  <c r="K74" i="1"/>
  <c r="AM212" i="1"/>
  <c r="K139" i="1"/>
  <c r="AM214" i="1"/>
  <c r="K131" i="1"/>
  <c r="J74" i="1"/>
  <c r="AL212" i="1"/>
  <c r="J139" i="1"/>
  <c r="AL214" i="1"/>
  <c r="J131" i="1"/>
  <c r="I74" i="1"/>
  <c r="AK214" i="1"/>
  <c r="AK212" i="1"/>
  <c r="I139" i="1"/>
  <c r="I131" i="1"/>
  <c r="H74" i="1"/>
  <c r="H139" i="1"/>
  <c r="AJ214" i="1"/>
  <c r="AJ212" i="1"/>
  <c r="H131" i="1"/>
  <c r="G74" i="1"/>
  <c r="AI212" i="1"/>
  <c r="G139" i="1"/>
  <c r="AI214" i="1"/>
  <c r="G131" i="1"/>
  <c r="F74" i="1"/>
  <c r="AH212" i="1"/>
  <c r="F139" i="1"/>
  <c r="AH214" i="1"/>
  <c r="F131" i="1"/>
  <c r="E74" i="1"/>
  <c r="AG214" i="1"/>
  <c r="AG212" i="1"/>
  <c r="E139" i="1"/>
  <c r="E131" i="1"/>
  <c r="D74" i="1"/>
  <c r="AF212" i="1"/>
  <c r="D139" i="1"/>
  <c r="AF214" i="1"/>
  <c r="AF217" i="1" s="1"/>
  <c r="D131" i="1"/>
  <c r="CY226" i="1"/>
  <c r="G74" i="3"/>
  <c r="G139" i="3"/>
  <c r="AI212" i="3"/>
  <c r="AI214" i="3"/>
  <c r="DA214" i="1"/>
  <c r="DA212" i="1"/>
  <c r="CZ212" i="1"/>
  <c r="CZ214" i="1"/>
  <c r="CY212" i="1"/>
  <c r="CY214" i="1"/>
  <c r="BT212" i="3"/>
  <c r="BT214" i="3"/>
  <c r="BR212" i="3"/>
  <c r="BR214" i="3"/>
  <c r="BP212" i="3"/>
  <c r="BP214" i="3"/>
  <c r="BO212" i="3"/>
  <c r="BO214" i="3"/>
  <c r="BN212" i="3"/>
  <c r="BN214" i="3"/>
  <c r="BM212" i="3"/>
  <c r="BM214" i="3"/>
  <c r="BL212" i="3"/>
  <c r="BL214" i="3"/>
  <c r="BK212" i="3"/>
  <c r="BK214" i="3"/>
  <c r="U74" i="3"/>
  <c r="U139" i="3"/>
  <c r="AW212" i="3"/>
  <c r="AW214" i="3"/>
  <c r="T74" i="3"/>
  <c r="T139" i="3"/>
  <c r="AV212" i="3"/>
  <c r="AV214" i="3"/>
  <c r="I74" i="3"/>
  <c r="CG212" i="1"/>
  <c r="DE212" i="1"/>
  <c r="E286" i="1"/>
  <c r="Y74" i="3"/>
  <c r="V74" i="3"/>
  <c r="BG282" i="3"/>
  <c r="CC212" i="3"/>
  <c r="CC214" i="3"/>
  <c r="BU212" i="3"/>
  <c r="BU214" i="3"/>
  <c r="BS212" i="3"/>
  <c r="BS214" i="3"/>
  <c r="BQ212" i="3"/>
  <c r="BQ214" i="3"/>
  <c r="BJ212" i="3"/>
  <c r="BJ214" i="3"/>
  <c r="BH212" i="3"/>
  <c r="BH214" i="3"/>
  <c r="BG212" i="3"/>
  <c r="BG214" i="3"/>
  <c r="BG217" i="3" s="1"/>
  <c r="Z74" i="3"/>
  <c r="Z139" i="3"/>
  <c r="BB212" i="3"/>
  <c r="BB214" i="3"/>
  <c r="X74" i="3"/>
  <c r="X139" i="3"/>
  <c r="AZ212" i="3"/>
  <c r="AZ214" i="3"/>
  <c r="M74" i="3"/>
  <c r="M139" i="3"/>
  <c r="AO212" i="3"/>
  <c r="M75" i="3" s="1"/>
  <c r="AO214" i="3"/>
  <c r="K74" i="3"/>
  <c r="K139" i="3"/>
  <c r="AM212" i="3"/>
  <c r="AM214" i="3"/>
  <c r="I139" i="3"/>
  <c r="AK212" i="3"/>
  <c r="I75" i="3" s="1"/>
  <c r="AK214" i="3"/>
  <c r="DC212" i="1"/>
  <c r="DC214" i="1"/>
  <c r="DB212" i="1"/>
  <c r="DB214" i="1"/>
  <c r="CG282" i="1"/>
  <c r="CG280" i="1"/>
  <c r="CG214" i="1"/>
  <c r="DE211" i="1"/>
  <c r="R43" i="1" s="1"/>
  <c r="Y139" i="3"/>
  <c r="BA212" i="3"/>
  <c r="BA214" i="3"/>
  <c r="V139" i="3"/>
  <c r="AX212" i="3"/>
  <c r="AX214" i="3"/>
  <c r="CH282" i="1"/>
  <c r="BG282" i="1"/>
  <c r="AF282" i="1"/>
  <c r="DC212" i="3"/>
  <c r="DC214" i="3"/>
  <c r="CS212" i="3"/>
  <c r="AE280" i="1"/>
  <c r="C286" i="1"/>
  <c r="C139" i="1"/>
  <c r="AE214" i="1"/>
  <c r="BC211" i="1"/>
  <c r="BC212" i="1"/>
  <c r="CS214" i="3"/>
  <c r="CO212" i="3"/>
  <c r="CO214" i="3"/>
  <c r="CI212" i="3"/>
  <c r="CI214" i="3"/>
  <c r="CG282" i="3"/>
  <c r="CG212" i="3"/>
  <c r="CG214" i="3"/>
  <c r="CG280" i="3"/>
  <c r="BI212" i="3"/>
  <c r="BI214" i="3"/>
  <c r="BG280" i="3"/>
  <c r="CD223" i="3"/>
  <c r="BF282" i="3"/>
  <c r="CD211" i="3"/>
  <c r="K43" i="3" s="1"/>
  <c r="C74" i="1"/>
  <c r="AE212" i="1"/>
  <c r="DF212" i="3"/>
  <c r="BF212" i="3"/>
  <c r="CD212" i="3"/>
  <c r="BF214" i="3"/>
  <c r="BF280" i="3"/>
  <c r="D286" i="3"/>
  <c r="Z133" i="3"/>
  <c r="Z86" i="3"/>
  <c r="Y133" i="3"/>
  <c r="Y86" i="3"/>
  <c r="CH282" i="3"/>
  <c r="O131" i="3"/>
  <c r="DD212" i="1"/>
  <c r="DD214" i="1"/>
  <c r="DF211" i="1"/>
  <c r="DF212" i="1"/>
  <c r="AE282" i="1"/>
  <c r="DA212" i="3"/>
  <c r="DA214" i="3"/>
  <c r="CZ212" i="3"/>
  <c r="CX212" i="3"/>
  <c r="CX214" i="3"/>
  <c r="CV212" i="3"/>
  <c r="CV214" i="3"/>
  <c r="CT212" i="3"/>
  <c r="CT214" i="3"/>
  <c r="CR212" i="3"/>
  <c r="CR214" i="3"/>
  <c r="Y132" i="3"/>
  <c r="R139" i="3"/>
  <c r="R132" i="3"/>
  <c r="AR212" i="3"/>
  <c r="AR214" i="3"/>
  <c r="P132" i="3"/>
  <c r="N74" i="3"/>
  <c r="AP212" i="3"/>
  <c r="N132" i="3"/>
  <c r="L85" i="3"/>
  <c r="H85" i="3"/>
  <c r="F85" i="3"/>
  <c r="D85" i="3"/>
  <c r="BF282" i="1"/>
  <c r="CD211" i="1"/>
  <c r="K43" i="1" s="1"/>
  <c r="CD212" i="1"/>
  <c r="BF212" i="1"/>
  <c r="BF280" i="1"/>
  <c r="D286" i="1"/>
  <c r="BF214" i="1"/>
  <c r="BD211" i="1"/>
  <c r="AQ212" i="1"/>
  <c r="BD212" i="1"/>
  <c r="AQ214" i="1"/>
  <c r="CZ214" i="3"/>
  <c r="CP212" i="3"/>
  <c r="CP214" i="3"/>
  <c r="CN212" i="3"/>
  <c r="CN214" i="3"/>
  <c r="CL212" i="3"/>
  <c r="CL214" i="3"/>
  <c r="CJ212" i="3"/>
  <c r="CJ214" i="3"/>
  <c r="CH212" i="3"/>
  <c r="CH214" i="3"/>
  <c r="CH217" i="3" s="1"/>
  <c r="CH280" i="3"/>
  <c r="CB212" i="3"/>
  <c r="CB214" i="3"/>
  <c r="BZ212" i="3"/>
  <c r="BZ214" i="3"/>
  <c r="Y85" i="3"/>
  <c r="R74" i="3"/>
  <c r="AT212" i="3"/>
  <c r="R75" i="3" s="1"/>
  <c r="AT214" i="3"/>
  <c r="R85" i="3"/>
  <c r="P74" i="3"/>
  <c r="P139" i="3"/>
  <c r="P85" i="3"/>
  <c r="N139" i="3"/>
  <c r="AP214" i="3"/>
  <c r="N85" i="3"/>
  <c r="L132" i="3"/>
  <c r="J85" i="3"/>
  <c r="H132" i="3"/>
  <c r="F132" i="3"/>
  <c r="J132" i="3"/>
  <c r="D132" i="3"/>
  <c r="DE223" i="3"/>
  <c r="DF211" i="3"/>
  <c r="BD211" i="3"/>
  <c r="BD212" i="3"/>
  <c r="DF274" i="3"/>
  <c r="N86" i="3"/>
  <c r="N133" i="3"/>
  <c r="DE223" i="1"/>
  <c r="AF280" i="3"/>
  <c r="BC223" i="3"/>
  <c r="C131" i="3"/>
  <c r="BC211" i="3"/>
  <c r="BC212" i="3"/>
  <c r="C286" i="3"/>
  <c r="CD223" i="1"/>
  <c r="AF280" i="1"/>
  <c r="CJ265" i="3"/>
  <c r="CK263" i="3"/>
  <c r="CK264" i="3" s="1"/>
  <c r="BI265" i="3"/>
  <c r="BJ263" i="3"/>
  <c r="BJ264" i="3" s="1"/>
  <c r="E119" i="3"/>
  <c r="AH265" i="3"/>
  <c r="AI263" i="3"/>
  <c r="AI264" i="3" s="1"/>
  <c r="BH216" i="3"/>
  <c r="BH261" i="3"/>
  <c r="D140" i="3"/>
  <c r="AG216" i="3"/>
  <c r="AG261" i="3"/>
  <c r="BI278" i="3"/>
  <c r="BJ253" i="3"/>
  <c r="BJ254" i="3" s="1"/>
  <c r="BI255" i="3"/>
  <c r="DF275" i="3"/>
  <c r="DE275" i="3"/>
  <c r="CE275" i="3"/>
  <c r="CD275" i="3"/>
  <c r="O112" i="3"/>
  <c r="O86" i="3"/>
  <c r="O133" i="3"/>
  <c r="BD226" i="3"/>
  <c r="P133" i="3"/>
  <c r="P86" i="3"/>
  <c r="C86" i="3"/>
  <c r="C133" i="3"/>
  <c r="BC226" i="3"/>
  <c r="C112" i="3"/>
  <c r="D133" i="3"/>
  <c r="D86" i="3"/>
  <c r="BC274" i="3"/>
  <c r="C158" i="3"/>
  <c r="W158" i="3" s="1"/>
  <c r="C86" i="1"/>
  <c r="C133" i="1"/>
  <c r="C112" i="1"/>
  <c r="D133" i="1"/>
  <c r="D86" i="1"/>
  <c r="BC274" i="1"/>
  <c r="C158" i="1"/>
  <c r="W158" i="1" s="1"/>
  <c r="CJ265" i="1"/>
  <c r="CK263" i="1"/>
  <c r="CK264" i="1" s="1"/>
  <c r="BI265" i="1"/>
  <c r="BJ263" i="1"/>
  <c r="BJ264" i="1" s="1"/>
  <c r="E119" i="1"/>
  <c r="AH265" i="1"/>
  <c r="AI263" i="1"/>
  <c r="AI264" i="1" s="1"/>
  <c r="CI216" i="1"/>
  <c r="CI261" i="1"/>
  <c r="BH216" i="1"/>
  <c r="BH261" i="1"/>
  <c r="D140" i="1"/>
  <c r="AG216" i="1"/>
  <c r="AG261" i="1"/>
  <c r="CJ255" i="1"/>
  <c r="CJ278" i="1"/>
  <c r="CK253" i="1"/>
  <c r="CK254" i="1" s="1"/>
  <c r="BI255" i="1"/>
  <c r="BI278" i="1"/>
  <c r="BJ253" i="1"/>
  <c r="BJ254" i="1" s="1"/>
  <c r="AH255" i="1"/>
  <c r="AH278" i="1"/>
  <c r="AI253" i="1"/>
  <c r="AI254" i="1" s="1"/>
  <c r="CJ255" i="3"/>
  <c r="CJ278" i="3"/>
  <c r="CK253" i="3"/>
  <c r="CK254" i="3" s="1"/>
  <c r="AH255" i="3"/>
  <c r="F109" i="3" s="1"/>
  <c r="AH278" i="3"/>
  <c r="AI253" i="3"/>
  <c r="AI254" i="3" s="1"/>
  <c r="V133" i="3"/>
  <c r="V86" i="3"/>
  <c r="U112" i="3"/>
  <c r="U86" i="3"/>
  <c r="U133" i="3"/>
  <c r="G112" i="3"/>
  <c r="G86" i="3"/>
  <c r="G133" i="3"/>
  <c r="H133" i="3"/>
  <c r="H86" i="3"/>
  <c r="X133" i="3"/>
  <c r="X86" i="3"/>
  <c r="W86" i="3"/>
  <c r="W133" i="3"/>
  <c r="W112" i="3"/>
  <c r="S86" i="3"/>
  <c r="S133" i="3"/>
  <c r="S112" i="3"/>
  <c r="T133" i="3"/>
  <c r="T86" i="3"/>
  <c r="Q86" i="3"/>
  <c r="Q133" i="3"/>
  <c r="Q112" i="3"/>
  <c r="R133" i="3"/>
  <c r="R86" i="3"/>
  <c r="E86" i="3"/>
  <c r="E133" i="3"/>
  <c r="F133" i="3"/>
  <c r="F86" i="3"/>
  <c r="E112" i="3"/>
  <c r="CK212" i="3"/>
  <c r="CK214" i="3"/>
  <c r="BY212" i="3"/>
  <c r="BY214" i="3"/>
  <c r="BR212" i="1"/>
  <c r="CE212" i="1"/>
  <c r="CE211" i="1"/>
  <c r="BR214" i="1"/>
  <c r="CM212" i="3"/>
  <c r="CM214" i="3"/>
  <c r="Q74" i="3"/>
  <c r="Q139" i="3"/>
  <c r="AS212" i="3"/>
  <c r="AS214" i="3"/>
  <c r="E74" i="3"/>
  <c r="E139" i="3"/>
  <c r="AG212" i="3"/>
  <c r="AG214" i="3"/>
  <c r="W74" i="3"/>
  <c r="W139" i="3"/>
  <c r="AY212" i="3"/>
  <c r="AY214" i="3"/>
  <c r="CQ212" i="3"/>
  <c r="CQ214" i="3"/>
  <c r="CA212" i="3"/>
  <c r="CA214" i="3"/>
  <c r="CY212" i="3"/>
  <c r="CY214" i="3"/>
  <c r="CW212" i="3"/>
  <c r="CW214" i="3"/>
  <c r="CU212" i="3"/>
  <c r="CU214" i="3"/>
  <c r="BX212" i="3"/>
  <c r="BX214" i="3"/>
  <c r="S74" i="3"/>
  <c r="S139" i="3"/>
  <c r="AU212" i="3"/>
  <c r="AU214" i="3"/>
  <c r="Q132" i="3"/>
  <c r="Q85" i="3"/>
  <c r="BD223" i="3"/>
  <c r="O132" i="3"/>
  <c r="O85" i="3"/>
  <c r="M132" i="3"/>
  <c r="M85" i="3"/>
  <c r="K132" i="3"/>
  <c r="K85" i="3"/>
  <c r="I132" i="3"/>
  <c r="I85" i="3"/>
  <c r="G132" i="3"/>
  <c r="G85" i="3"/>
  <c r="E132" i="3"/>
  <c r="E85" i="3"/>
  <c r="DF223" i="1"/>
  <c r="L132" i="1"/>
  <c r="L85" i="1"/>
  <c r="K132" i="1"/>
  <c r="K85" i="1"/>
  <c r="J132" i="1"/>
  <c r="J85" i="1"/>
  <c r="I132" i="1"/>
  <c r="I85" i="1"/>
  <c r="G132" i="1"/>
  <c r="G85" i="1"/>
  <c r="E132" i="1"/>
  <c r="E85" i="1"/>
  <c r="D132" i="1"/>
  <c r="D85" i="1"/>
  <c r="V132" i="3"/>
  <c r="V85" i="3"/>
  <c r="CE223" i="1"/>
  <c r="M132" i="1"/>
  <c r="M85" i="1"/>
  <c r="H132" i="1"/>
  <c r="H85" i="1"/>
  <c r="F132" i="1"/>
  <c r="F85" i="1"/>
  <c r="S132" i="3"/>
  <c r="S85" i="3"/>
  <c r="BD223" i="1"/>
  <c r="N132" i="1"/>
  <c r="N85" i="1"/>
  <c r="Z132" i="3"/>
  <c r="Z85" i="3"/>
  <c r="W132" i="3"/>
  <c r="W85" i="3"/>
  <c r="U132" i="3"/>
  <c r="U85" i="3"/>
  <c r="T132" i="3"/>
  <c r="T85" i="3"/>
  <c r="X132" i="3"/>
  <c r="X85" i="3"/>
  <c r="DF223" i="3"/>
  <c r="DE212" i="3"/>
  <c r="G131" i="3"/>
  <c r="E131" i="3"/>
  <c r="U11" i="3"/>
  <c r="CH280" i="1"/>
  <c r="BG280" i="1"/>
  <c r="BC223" i="1"/>
  <c r="U11" i="1"/>
  <c r="C131" i="1"/>
  <c r="CE211" i="3"/>
  <c r="CE212" i="3"/>
  <c r="CE223" i="3"/>
  <c r="W131" i="3"/>
  <c r="U131" i="3"/>
  <c r="S131" i="3"/>
  <c r="CD274" i="3"/>
  <c r="Q131" i="3"/>
  <c r="BD274" i="1"/>
  <c r="DF226" i="3"/>
  <c r="DE226" i="3"/>
  <c r="CE226" i="3"/>
  <c r="CD226" i="3"/>
  <c r="DE211" i="3"/>
  <c r="R43" i="3" s="1"/>
  <c r="E286" i="3"/>
  <c r="BD274" i="3"/>
  <c r="D141" i="3" l="1"/>
  <c r="J75" i="3"/>
  <c r="S75" i="3"/>
  <c r="L75" i="3"/>
  <c r="T75" i="3"/>
  <c r="Z75" i="3"/>
  <c r="K75" i="3"/>
  <c r="Q75" i="3"/>
  <c r="E75" i="3"/>
  <c r="W75" i="3"/>
  <c r="U75" i="3"/>
  <c r="O75" i="1"/>
  <c r="X75" i="3"/>
  <c r="AC75" i="1"/>
  <c r="AC75" i="3"/>
  <c r="H75" i="3"/>
  <c r="F75" i="3"/>
  <c r="D75" i="3"/>
  <c r="O75" i="3"/>
  <c r="C75" i="3"/>
  <c r="C141" i="3"/>
  <c r="G75" i="3"/>
  <c r="Y75" i="3"/>
  <c r="V75" i="3"/>
  <c r="P75" i="3"/>
  <c r="N75" i="3"/>
  <c r="AF218" i="3"/>
  <c r="AB112" i="1"/>
  <c r="D75" i="1"/>
  <c r="AC112" i="1"/>
  <c r="Z75" i="1"/>
  <c r="Y75" i="1"/>
  <c r="X75" i="1"/>
  <c r="W75" i="1"/>
  <c r="V75" i="1"/>
  <c r="U75" i="1"/>
  <c r="T75" i="1"/>
  <c r="S75" i="1"/>
  <c r="R75" i="1"/>
  <c r="Q75" i="1"/>
  <c r="P75" i="1"/>
  <c r="N75" i="1"/>
  <c r="M75" i="1"/>
  <c r="L75" i="1"/>
  <c r="K75" i="1"/>
  <c r="J75" i="1"/>
  <c r="C141" i="1"/>
  <c r="I75" i="1"/>
  <c r="H75" i="1"/>
  <c r="G75" i="1"/>
  <c r="F75" i="1"/>
  <c r="E75" i="1"/>
  <c r="C75" i="1"/>
  <c r="D141" i="1"/>
  <c r="F109" i="1"/>
  <c r="Z133" i="1"/>
  <c r="Z86" i="1"/>
  <c r="Y133" i="1"/>
  <c r="Y86" i="1"/>
  <c r="X86" i="1"/>
  <c r="X133" i="1"/>
  <c r="W133" i="1"/>
  <c r="W86" i="1"/>
  <c r="V86" i="1"/>
  <c r="V133" i="1"/>
  <c r="U133" i="1"/>
  <c r="U86" i="1"/>
  <c r="T133" i="1"/>
  <c r="T86" i="1"/>
  <c r="S86" i="1"/>
  <c r="S133" i="1"/>
  <c r="R133" i="1"/>
  <c r="R86" i="1"/>
  <c r="Q133" i="1"/>
  <c r="Q86" i="1"/>
  <c r="O133" i="1"/>
  <c r="O86" i="1"/>
  <c r="AC139" i="1"/>
  <c r="AC74" i="1"/>
  <c r="AC85" i="1"/>
  <c r="AC132" i="1"/>
  <c r="CE275" i="1"/>
  <c r="CI276" i="3"/>
  <c r="CJ215" i="3"/>
  <c r="CD275" i="1"/>
  <c r="BD275" i="1"/>
  <c r="CH218" i="1"/>
  <c r="CI279" i="3"/>
  <c r="CI282" i="3"/>
  <c r="CE226" i="1"/>
  <c r="N133" i="1"/>
  <c r="N86" i="1"/>
  <c r="CD226" i="1"/>
  <c r="M133" i="1"/>
  <c r="M86" i="1"/>
  <c r="L133" i="1"/>
  <c r="L86" i="1"/>
  <c r="K133" i="1"/>
  <c r="K86" i="1"/>
  <c r="J133" i="1"/>
  <c r="J86" i="1"/>
  <c r="I133" i="1"/>
  <c r="I86" i="1"/>
  <c r="H133" i="1"/>
  <c r="H86" i="1"/>
  <c r="G133" i="1"/>
  <c r="G86" i="1"/>
  <c r="F133" i="1"/>
  <c r="F86" i="1"/>
  <c r="E133" i="1"/>
  <c r="E86" i="1"/>
  <c r="D142" i="3"/>
  <c r="D144" i="3"/>
  <c r="C144" i="3"/>
  <c r="C142" i="3"/>
  <c r="AE217" i="3"/>
  <c r="DE275" i="1"/>
  <c r="BC226" i="1"/>
  <c r="BG218" i="1"/>
  <c r="AF218" i="1"/>
  <c r="DE226" i="1"/>
  <c r="AE217" i="1"/>
  <c r="I8" i="1"/>
  <c r="AB74" i="1"/>
  <c r="AB139" i="1"/>
  <c r="C43" i="1"/>
  <c r="AB75" i="1"/>
  <c r="BD226" i="1"/>
  <c r="DF275" i="1"/>
  <c r="BC214" i="1"/>
  <c r="DF226" i="1"/>
  <c r="DE214" i="1"/>
  <c r="CG217" i="1"/>
  <c r="D144" i="1"/>
  <c r="BG218" i="3"/>
  <c r="D142" i="1"/>
  <c r="O8" i="1"/>
  <c r="CI217" i="3"/>
  <c r="CG217" i="3"/>
  <c r="CD214" i="3"/>
  <c r="BF217" i="3"/>
  <c r="AC74" i="3"/>
  <c r="AC139" i="3"/>
  <c r="DF214" i="1"/>
  <c r="CD214" i="1"/>
  <c r="BF217" i="1"/>
  <c r="BD214" i="1"/>
  <c r="C144" i="1"/>
  <c r="C142" i="1"/>
  <c r="CH218" i="3"/>
  <c r="AB85" i="3"/>
  <c r="AB132" i="3"/>
  <c r="I8" i="3"/>
  <c r="AB74" i="3"/>
  <c r="AB139" i="3"/>
  <c r="C43" i="3"/>
  <c r="O8" i="3"/>
  <c r="AB75" i="3"/>
  <c r="AG217" i="3"/>
  <c r="CK265" i="3"/>
  <c r="CL263" i="3"/>
  <c r="CL264" i="3" s="1"/>
  <c r="BJ265" i="3"/>
  <c r="BK263" i="3"/>
  <c r="BK264" i="3" s="1"/>
  <c r="F119" i="3"/>
  <c r="AI265" i="3"/>
  <c r="AJ263" i="3"/>
  <c r="AJ264" i="3" s="1"/>
  <c r="BH217" i="3"/>
  <c r="BH279" i="3"/>
  <c r="BH276" i="3"/>
  <c r="BH282" i="3"/>
  <c r="BI215" i="3"/>
  <c r="E77" i="3"/>
  <c r="AG279" i="3"/>
  <c r="E116" i="3"/>
  <c r="AG293" i="3"/>
  <c r="AG276" i="3"/>
  <c r="AG282" i="3"/>
  <c r="AH215" i="3"/>
  <c r="BK253" i="3"/>
  <c r="BK254" i="3" s="1"/>
  <c r="BJ255" i="3"/>
  <c r="BJ278" i="3"/>
  <c r="AC86" i="3"/>
  <c r="AC133" i="3"/>
  <c r="AB86" i="3"/>
  <c r="AB133" i="3"/>
  <c r="BC275" i="3"/>
  <c r="C159" i="3"/>
  <c r="W159" i="3" s="1"/>
  <c r="BC275" i="1"/>
  <c r="C159" i="1"/>
  <c r="W159" i="1" s="1"/>
  <c r="CK265" i="1"/>
  <c r="CL263" i="1"/>
  <c r="CL264" i="1" s="1"/>
  <c r="BJ265" i="1"/>
  <c r="BK263" i="1"/>
  <c r="BK264" i="1" s="1"/>
  <c r="F119" i="1"/>
  <c r="AI265" i="1"/>
  <c r="AJ263" i="1"/>
  <c r="AJ264" i="1" s="1"/>
  <c r="CI217" i="1"/>
  <c r="CI279" i="1"/>
  <c r="CI276" i="1"/>
  <c r="CI282" i="1"/>
  <c r="CJ215" i="1"/>
  <c r="BH217" i="1"/>
  <c r="BH279" i="1"/>
  <c r="BH276" i="1"/>
  <c r="BH282" i="1"/>
  <c r="BI215" i="1"/>
  <c r="AG217" i="1"/>
  <c r="E77" i="1"/>
  <c r="AG279" i="1"/>
  <c r="AG293" i="1"/>
  <c r="AG276" i="1"/>
  <c r="AG282" i="1"/>
  <c r="E116" i="1"/>
  <c r="AH215" i="1"/>
  <c r="CK255" i="1"/>
  <c r="CK278" i="1"/>
  <c r="CL253" i="1"/>
  <c r="CL254" i="1" s="1"/>
  <c r="BJ255" i="1"/>
  <c r="BJ278" i="1"/>
  <c r="BK253" i="1"/>
  <c r="BK254" i="1" s="1"/>
  <c r="AI255" i="1"/>
  <c r="G109" i="1" s="1"/>
  <c r="AI278" i="1"/>
  <c r="AJ253" i="1"/>
  <c r="AJ254" i="1" s="1"/>
  <c r="CK255" i="3"/>
  <c r="CL253" i="3"/>
  <c r="CL254" i="3" s="1"/>
  <c r="CK278" i="3"/>
  <c r="AI255" i="3"/>
  <c r="AJ253" i="3"/>
  <c r="AJ254" i="3" s="1"/>
  <c r="AI278" i="3"/>
  <c r="CE214" i="1"/>
  <c r="AC85" i="3"/>
  <c r="AC132" i="3"/>
  <c r="AB132" i="1"/>
  <c r="AB85" i="1"/>
  <c r="BD275" i="3"/>
  <c r="DF214" i="3"/>
  <c r="DE214" i="3"/>
  <c r="CE214" i="3"/>
  <c r="BC214" i="3"/>
  <c r="BD214" i="3"/>
  <c r="G109" i="3" l="1"/>
  <c r="D78" i="1"/>
  <c r="D78" i="3"/>
  <c r="AF219" i="3"/>
  <c r="AC133" i="1"/>
  <c r="AC86" i="1"/>
  <c r="CI280" i="3"/>
  <c r="CJ261" i="3"/>
  <c r="CJ216" i="3"/>
  <c r="CH219" i="1"/>
  <c r="AE218" i="3"/>
  <c r="AB86" i="1"/>
  <c r="AB133" i="1"/>
  <c r="AE218" i="1"/>
  <c r="AF219" i="1"/>
  <c r="BG219" i="1"/>
  <c r="CG218" i="1"/>
  <c r="BG219" i="3"/>
  <c r="CG218" i="3"/>
  <c r="BF218" i="3"/>
  <c r="CI218" i="3"/>
  <c r="BF218" i="1"/>
  <c r="CH219" i="3"/>
  <c r="AG218" i="3"/>
  <c r="CL265" i="3"/>
  <c r="CM263" i="3"/>
  <c r="CM264" i="3" s="1"/>
  <c r="BK265" i="3"/>
  <c r="BL263" i="3"/>
  <c r="BL264" i="3" s="1"/>
  <c r="G119" i="3"/>
  <c r="AJ265" i="3"/>
  <c r="AK263" i="3"/>
  <c r="AK264" i="3" s="1"/>
  <c r="BH218" i="3"/>
  <c r="BH280" i="3"/>
  <c r="BI216" i="3"/>
  <c r="BI261" i="3"/>
  <c r="AG280" i="3"/>
  <c r="E140" i="3"/>
  <c r="E142" i="3"/>
  <c r="E144" i="3"/>
  <c r="AH216" i="3"/>
  <c r="AH261" i="3"/>
  <c r="BK255" i="3"/>
  <c r="BK278" i="3"/>
  <c r="BL253" i="3"/>
  <c r="BL254" i="3" s="1"/>
  <c r="CL265" i="1"/>
  <c r="CM263" i="1"/>
  <c r="CM264" i="1" s="1"/>
  <c r="BK265" i="1"/>
  <c r="BL263" i="1"/>
  <c r="BL264" i="1" s="1"/>
  <c r="G119" i="1"/>
  <c r="AJ265" i="1"/>
  <c r="AK263" i="1"/>
  <c r="AK264" i="1" s="1"/>
  <c r="CI218" i="1"/>
  <c r="CI280" i="1"/>
  <c r="CJ216" i="1"/>
  <c r="CJ261" i="1"/>
  <c r="BH218" i="1"/>
  <c r="BH280" i="1"/>
  <c r="BI216" i="1"/>
  <c r="BI261" i="1"/>
  <c r="AG218" i="1"/>
  <c r="AG280" i="1"/>
  <c r="E140" i="1"/>
  <c r="E142" i="1"/>
  <c r="E144" i="1"/>
  <c r="AH216" i="1"/>
  <c r="AH261" i="1"/>
  <c r="CL255" i="1"/>
  <c r="CL278" i="1"/>
  <c r="CM253" i="1"/>
  <c r="CM254" i="1" s="1"/>
  <c r="BK255" i="1"/>
  <c r="BK278" i="1"/>
  <c r="BL253" i="1"/>
  <c r="BL254" i="1" s="1"/>
  <c r="AJ255" i="1"/>
  <c r="H109" i="1" s="1"/>
  <c r="AJ278" i="1"/>
  <c r="AK253" i="1"/>
  <c r="AK254" i="1" s="1"/>
  <c r="CL255" i="3"/>
  <c r="CL278" i="3"/>
  <c r="CM253" i="3"/>
  <c r="CM254" i="3" s="1"/>
  <c r="AJ278" i="3"/>
  <c r="AJ255" i="3"/>
  <c r="AK253" i="3"/>
  <c r="AK254" i="3" s="1"/>
  <c r="E78" i="1" l="1"/>
  <c r="E141" i="1"/>
  <c r="E141" i="3"/>
  <c r="E78" i="3"/>
  <c r="H109" i="3"/>
  <c r="AF220" i="3"/>
  <c r="D83" i="3"/>
  <c r="D79" i="3"/>
  <c r="CJ276" i="3"/>
  <c r="CG219" i="1"/>
  <c r="CJ282" i="3"/>
  <c r="CK215" i="3"/>
  <c r="CJ217" i="3"/>
  <c r="CJ279" i="3"/>
  <c r="CH220" i="1"/>
  <c r="C78" i="3"/>
  <c r="C78" i="1"/>
  <c r="BF219" i="1"/>
  <c r="BG220" i="1"/>
  <c r="AF220" i="1"/>
  <c r="D80" i="1" s="1"/>
  <c r="D83" i="1"/>
  <c r="D79" i="1"/>
  <c r="AE219" i="3"/>
  <c r="AE219" i="1"/>
  <c r="BG220" i="3"/>
  <c r="BF219" i="3"/>
  <c r="CG219" i="3"/>
  <c r="CI219" i="3"/>
  <c r="CH220" i="3"/>
  <c r="AG219" i="3"/>
  <c r="CM265" i="3"/>
  <c r="CN263" i="3"/>
  <c r="CN264" i="3" s="1"/>
  <c r="BL265" i="3"/>
  <c r="BM263" i="3"/>
  <c r="BM264" i="3" s="1"/>
  <c r="H119" i="3"/>
  <c r="AK265" i="3"/>
  <c r="AL263" i="3"/>
  <c r="AL264" i="3" s="1"/>
  <c r="BI217" i="3"/>
  <c r="BI279" i="3"/>
  <c r="BI276" i="3"/>
  <c r="BI282" i="3"/>
  <c r="BJ215" i="3"/>
  <c r="AH217" i="3"/>
  <c r="F77" i="3"/>
  <c r="AH279" i="3"/>
  <c r="F116" i="3"/>
  <c r="AH293" i="3"/>
  <c r="AH276" i="3"/>
  <c r="AH282" i="3"/>
  <c r="AI215" i="3"/>
  <c r="BL255" i="3"/>
  <c r="BL278" i="3"/>
  <c r="BM253" i="3"/>
  <c r="BM254" i="3" s="1"/>
  <c r="CM265" i="1"/>
  <c r="CN263" i="1"/>
  <c r="CN264" i="1" s="1"/>
  <c r="BL265" i="1"/>
  <c r="BM263" i="1"/>
  <c r="BM264" i="1" s="1"/>
  <c r="H119" i="1"/>
  <c r="AK265" i="1"/>
  <c r="AL263" i="1"/>
  <c r="AL264" i="1" s="1"/>
  <c r="CJ217" i="1"/>
  <c r="CJ279" i="1"/>
  <c r="CJ276" i="1"/>
  <c r="CJ282" i="1"/>
  <c r="CK215" i="1"/>
  <c r="BI217" i="1"/>
  <c r="BI279" i="1"/>
  <c r="BI276" i="1"/>
  <c r="BI282" i="1"/>
  <c r="BJ215" i="1"/>
  <c r="AH217" i="1"/>
  <c r="F77" i="1"/>
  <c r="AH279" i="1"/>
  <c r="AH293" i="1"/>
  <c r="AH276" i="1"/>
  <c r="AH282" i="1"/>
  <c r="F116" i="1"/>
  <c r="AI215" i="1"/>
  <c r="CM255" i="1"/>
  <c r="CM278" i="1"/>
  <c r="CN253" i="1"/>
  <c r="CN254" i="1" s="1"/>
  <c r="BL255" i="1"/>
  <c r="BL278" i="1"/>
  <c r="BM253" i="1"/>
  <c r="BM254" i="1" s="1"/>
  <c r="AK255" i="1"/>
  <c r="I109" i="1" s="1"/>
  <c r="AK278" i="1"/>
  <c r="AL253" i="1"/>
  <c r="AL254" i="1" s="1"/>
  <c r="CM255" i="3"/>
  <c r="CM278" i="3"/>
  <c r="CN253" i="3"/>
  <c r="CN254" i="3" s="1"/>
  <c r="AK255" i="3"/>
  <c r="AK278" i="3"/>
  <c r="AL253" i="3"/>
  <c r="AL254" i="3" s="1"/>
  <c r="CI219" i="1"/>
  <c r="BH219" i="1"/>
  <c r="AG219" i="1"/>
  <c r="BH219" i="3"/>
  <c r="D80" i="3" l="1"/>
  <c r="I109" i="3"/>
  <c r="CG267" i="1"/>
  <c r="CG220" i="1"/>
  <c r="CK216" i="3"/>
  <c r="CK261" i="3"/>
  <c r="CJ280" i="3"/>
  <c r="CJ218" i="3"/>
  <c r="BF267" i="1"/>
  <c r="BF220" i="1"/>
  <c r="E79" i="3"/>
  <c r="E83" i="3"/>
  <c r="AG220" i="3"/>
  <c r="AE220" i="3"/>
  <c r="AE267" i="3"/>
  <c r="C83" i="3"/>
  <c r="AE220" i="1"/>
  <c r="C79" i="3"/>
  <c r="C83" i="1"/>
  <c r="C79" i="1"/>
  <c r="AE267" i="1"/>
  <c r="CI220" i="3"/>
  <c r="BF220" i="3"/>
  <c r="BF267" i="3"/>
  <c r="CG220" i="3"/>
  <c r="CG267" i="3"/>
  <c r="CN265" i="3"/>
  <c r="CO263" i="3"/>
  <c r="CO264" i="3" s="1"/>
  <c r="BM265" i="3"/>
  <c r="BN263" i="3"/>
  <c r="BN264" i="3" s="1"/>
  <c r="I119" i="3"/>
  <c r="AL265" i="3"/>
  <c r="AM263" i="3"/>
  <c r="AM264" i="3" s="1"/>
  <c r="BI218" i="3"/>
  <c r="BI280" i="3"/>
  <c r="BJ216" i="3"/>
  <c r="BJ261" i="3"/>
  <c r="AH218" i="3"/>
  <c r="AH280" i="3"/>
  <c r="F140" i="3"/>
  <c r="F142" i="3"/>
  <c r="F144" i="3"/>
  <c r="AI216" i="3"/>
  <c r="AI261" i="3"/>
  <c r="BM278" i="3"/>
  <c r="BN253" i="3"/>
  <c r="BN254" i="3" s="1"/>
  <c r="BM255" i="3"/>
  <c r="CN265" i="1"/>
  <c r="CO263" i="1"/>
  <c r="CO264" i="1" s="1"/>
  <c r="BM265" i="1"/>
  <c r="BN263" i="1"/>
  <c r="BN264" i="1" s="1"/>
  <c r="I119" i="1"/>
  <c r="AL265" i="1"/>
  <c r="AM263" i="1"/>
  <c r="AM264" i="1" s="1"/>
  <c r="CJ218" i="1"/>
  <c r="CJ280" i="1"/>
  <c r="CK216" i="1"/>
  <c r="CK261" i="1"/>
  <c r="BI218" i="1"/>
  <c r="BI280" i="1"/>
  <c r="BJ216" i="1"/>
  <c r="BJ261" i="1"/>
  <c r="AH218" i="1"/>
  <c r="AH280" i="1"/>
  <c r="F140" i="1"/>
  <c r="F142" i="1"/>
  <c r="F144" i="1"/>
  <c r="AI216" i="1"/>
  <c r="AI261" i="1"/>
  <c r="CN255" i="1"/>
  <c r="CN278" i="1"/>
  <c r="CO253" i="1"/>
  <c r="CO254" i="1" s="1"/>
  <c r="BM255" i="1"/>
  <c r="BM278" i="1"/>
  <c r="BN253" i="1"/>
  <c r="BN254" i="1" s="1"/>
  <c r="AL255" i="1"/>
  <c r="AL278" i="1"/>
  <c r="AM253" i="1"/>
  <c r="AM254" i="1" s="1"/>
  <c r="CN255" i="3"/>
  <c r="CN278" i="3"/>
  <c r="CO253" i="3"/>
  <c r="CO254" i="3" s="1"/>
  <c r="AL278" i="3"/>
  <c r="AL255" i="3"/>
  <c r="AM253" i="3"/>
  <c r="AM254" i="3" s="1"/>
  <c r="CI220" i="1"/>
  <c r="BH220" i="1"/>
  <c r="AG220" i="1"/>
  <c r="E83" i="1"/>
  <c r="E79" i="1"/>
  <c r="BH220" i="3"/>
  <c r="J109" i="1" l="1"/>
  <c r="E80" i="1"/>
  <c r="F141" i="1"/>
  <c r="E80" i="3"/>
  <c r="F141" i="3"/>
  <c r="C80" i="1"/>
  <c r="C80" i="3"/>
  <c r="J109" i="3"/>
  <c r="CK217" i="3"/>
  <c r="CK279" i="3"/>
  <c r="CK276" i="3"/>
  <c r="CK282" i="3"/>
  <c r="CH266" i="1"/>
  <c r="CH267" i="1" s="1"/>
  <c r="CG273" i="1"/>
  <c r="CG268" i="1"/>
  <c r="CG269" i="1" s="1"/>
  <c r="CL215" i="3"/>
  <c r="CJ219" i="3"/>
  <c r="BG266" i="1"/>
  <c r="BG267" i="1" s="1"/>
  <c r="BF273" i="1"/>
  <c r="BF268" i="1"/>
  <c r="BF269" i="1" s="1"/>
  <c r="AF266" i="3"/>
  <c r="AF267" i="3" s="1"/>
  <c r="AE273" i="3"/>
  <c r="AE268" i="3"/>
  <c r="AF266" i="1"/>
  <c r="AF267" i="1" s="1"/>
  <c r="AE273" i="1"/>
  <c r="AE268" i="1"/>
  <c r="BG266" i="3"/>
  <c r="BG267" i="3" s="1"/>
  <c r="BF268" i="3"/>
  <c r="BF269" i="3" s="1"/>
  <c r="BF273" i="3"/>
  <c r="CH266" i="3"/>
  <c r="CH267" i="3" s="1"/>
  <c r="CG273" i="3"/>
  <c r="CG268" i="3"/>
  <c r="CG269" i="3" s="1"/>
  <c r="CO265" i="3"/>
  <c r="CP263" i="3"/>
  <c r="CP264" i="3" s="1"/>
  <c r="BN265" i="3"/>
  <c r="BO263" i="3"/>
  <c r="BO264" i="3" s="1"/>
  <c r="J119" i="3"/>
  <c r="AM265" i="3"/>
  <c r="AN263" i="3"/>
  <c r="AN264" i="3" s="1"/>
  <c r="BJ217" i="3"/>
  <c r="BJ279" i="3"/>
  <c r="BJ276" i="3"/>
  <c r="BJ282" i="3"/>
  <c r="BK215" i="3"/>
  <c r="F78" i="3"/>
  <c r="AI217" i="3"/>
  <c r="G77" i="3"/>
  <c r="AI279" i="3"/>
  <c r="G116" i="3"/>
  <c r="AI293" i="3"/>
  <c r="AI276" i="3"/>
  <c r="AI282" i="3"/>
  <c r="AJ215" i="3"/>
  <c r="BN255" i="3"/>
  <c r="BN278" i="3"/>
  <c r="BO253" i="3"/>
  <c r="BO254" i="3" s="1"/>
  <c r="CO265" i="1"/>
  <c r="CP263" i="1"/>
  <c r="CP264" i="1" s="1"/>
  <c r="BN265" i="1"/>
  <c r="BO263" i="1"/>
  <c r="BO264" i="1" s="1"/>
  <c r="J119" i="1"/>
  <c r="AM265" i="1"/>
  <c r="AN263" i="1"/>
  <c r="AN264" i="1" s="1"/>
  <c r="CK217" i="1"/>
  <c r="CK279" i="1"/>
  <c r="CK276" i="1"/>
  <c r="CK282" i="1"/>
  <c r="CL215" i="1"/>
  <c r="BJ217" i="1"/>
  <c r="BJ279" i="1"/>
  <c r="BJ276" i="1"/>
  <c r="BJ282" i="1"/>
  <c r="BK215" i="1"/>
  <c r="F78" i="1"/>
  <c r="AI217" i="1"/>
  <c r="G77" i="1"/>
  <c r="AI279" i="1"/>
  <c r="AI293" i="1"/>
  <c r="AI276" i="1"/>
  <c r="AI282" i="1"/>
  <c r="G116" i="1"/>
  <c r="AJ215" i="1"/>
  <c r="CO255" i="1"/>
  <c r="CO278" i="1"/>
  <c r="CP253" i="1"/>
  <c r="CP254" i="1" s="1"/>
  <c r="BN255" i="1"/>
  <c r="BN278" i="1"/>
  <c r="BO253" i="1"/>
  <c r="BO254" i="1" s="1"/>
  <c r="AM255" i="1"/>
  <c r="K109" i="1" s="1"/>
  <c r="AM278" i="1"/>
  <c r="AN253" i="1"/>
  <c r="AN254" i="1" s="1"/>
  <c r="CO255" i="3"/>
  <c r="CO278" i="3"/>
  <c r="CP253" i="3"/>
  <c r="CP254" i="3" s="1"/>
  <c r="AM255" i="3"/>
  <c r="K109" i="3" s="1"/>
  <c r="AM278" i="3"/>
  <c r="AN253" i="3"/>
  <c r="AN254" i="3" s="1"/>
  <c r="BI219" i="3"/>
  <c r="CJ219" i="1"/>
  <c r="BI219" i="1"/>
  <c r="AH219" i="1"/>
  <c r="AH219" i="3"/>
  <c r="CK218" i="3" l="1"/>
  <c r="CK280" i="3"/>
  <c r="CL261" i="3"/>
  <c r="CL216" i="3"/>
  <c r="CJ220" i="3"/>
  <c r="CH268" i="1"/>
  <c r="CH269" i="1" s="1"/>
  <c r="CH273" i="1"/>
  <c r="CI266" i="1"/>
  <c r="CI267" i="1" s="1"/>
  <c r="BH266" i="1"/>
  <c r="BH267" i="1" s="1"/>
  <c r="BG273" i="1"/>
  <c r="BG268" i="1"/>
  <c r="BG269" i="1" s="1"/>
  <c r="C120" i="3"/>
  <c r="AF268" i="3"/>
  <c r="AF273" i="3"/>
  <c r="AG266" i="3"/>
  <c r="AG267" i="3" s="1"/>
  <c r="AE269" i="3"/>
  <c r="AF268" i="1"/>
  <c r="AF273" i="1"/>
  <c r="AG266" i="1"/>
  <c r="AG267" i="1" s="1"/>
  <c r="AE269" i="1"/>
  <c r="C120" i="1"/>
  <c r="BG268" i="3"/>
  <c r="BG269" i="3" s="1"/>
  <c r="BG273" i="3"/>
  <c r="BH266" i="3"/>
  <c r="BH267" i="3" s="1"/>
  <c r="CH268" i="3"/>
  <c r="CH269" i="3" s="1"/>
  <c r="CH273" i="3"/>
  <c r="CI266" i="3"/>
  <c r="CI267" i="3" s="1"/>
  <c r="CP265" i="3"/>
  <c r="CQ263" i="3"/>
  <c r="CQ264" i="3" s="1"/>
  <c r="BO265" i="3"/>
  <c r="BP263" i="3"/>
  <c r="BP264" i="3" s="1"/>
  <c r="K119" i="3"/>
  <c r="AN265" i="3"/>
  <c r="AO263" i="3"/>
  <c r="AO264" i="3" s="1"/>
  <c r="BJ218" i="3"/>
  <c r="BJ280" i="3"/>
  <c r="BK216" i="3"/>
  <c r="BK261" i="3"/>
  <c r="AI218" i="3"/>
  <c r="AI280" i="3"/>
  <c r="G140" i="3"/>
  <c r="G142" i="3"/>
  <c r="G144" i="3"/>
  <c r="AJ216" i="3"/>
  <c r="AJ261" i="3"/>
  <c r="BO278" i="3"/>
  <c r="BO255" i="3"/>
  <c r="BP253" i="3"/>
  <c r="BP254" i="3" s="1"/>
  <c r="CP265" i="1"/>
  <c r="CQ263" i="1"/>
  <c r="CQ264" i="1" s="1"/>
  <c r="BO265" i="1"/>
  <c r="BP263" i="1"/>
  <c r="BP264" i="1" s="1"/>
  <c r="K119" i="1"/>
  <c r="AN265" i="1"/>
  <c r="AO263" i="1"/>
  <c r="AO264" i="1" s="1"/>
  <c r="CK218" i="1"/>
  <c r="CK280" i="1"/>
  <c r="CL216" i="1"/>
  <c r="CL261" i="1"/>
  <c r="BJ218" i="1"/>
  <c r="BJ280" i="1"/>
  <c r="BK216" i="1"/>
  <c r="BK261" i="1"/>
  <c r="AI218" i="1"/>
  <c r="AI280" i="1"/>
  <c r="G141" i="1" s="1"/>
  <c r="G140" i="1"/>
  <c r="G142" i="1"/>
  <c r="G144" i="1"/>
  <c r="AJ216" i="1"/>
  <c r="AJ261" i="1"/>
  <c r="CP255" i="1"/>
  <c r="CP278" i="1"/>
  <c r="CQ253" i="1"/>
  <c r="CQ254" i="1" s="1"/>
  <c r="BO255" i="1"/>
  <c r="BO278" i="1"/>
  <c r="BP253" i="1"/>
  <c r="BP254" i="1" s="1"/>
  <c r="AN255" i="1"/>
  <c r="AN278" i="1"/>
  <c r="AO253" i="1"/>
  <c r="AO254" i="1" s="1"/>
  <c r="CP255" i="3"/>
  <c r="CQ253" i="3"/>
  <c r="CQ254" i="3" s="1"/>
  <c r="CP278" i="3"/>
  <c r="AN255" i="3"/>
  <c r="AO253" i="3"/>
  <c r="AO254" i="3" s="1"/>
  <c r="AN278" i="3"/>
  <c r="BI220" i="3"/>
  <c r="CJ220" i="1"/>
  <c r="BI220" i="1"/>
  <c r="AH220" i="1"/>
  <c r="F80" i="1" s="1"/>
  <c r="F83" i="1"/>
  <c r="F79" i="1"/>
  <c r="AH220" i="3"/>
  <c r="F83" i="3"/>
  <c r="F79" i="3"/>
  <c r="G141" i="3" l="1"/>
  <c r="L109" i="1"/>
  <c r="F80" i="3"/>
  <c r="L109" i="3"/>
  <c r="CK219" i="3"/>
  <c r="CL276" i="3"/>
  <c r="CL282" i="3"/>
  <c r="CM215" i="3"/>
  <c r="CL217" i="3"/>
  <c r="CL279" i="3"/>
  <c r="CI273" i="1"/>
  <c r="CJ266" i="1"/>
  <c r="CI268" i="1"/>
  <c r="CI269" i="1" s="1"/>
  <c r="BH268" i="1"/>
  <c r="BH269" i="1" s="1"/>
  <c r="BH273" i="1"/>
  <c r="BI266" i="1"/>
  <c r="AG268" i="1"/>
  <c r="AH266" i="1"/>
  <c r="AH267" i="1" s="1"/>
  <c r="AE294" i="1"/>
  <c r="AF269" i="3"/>
  <c r="D120" i="3"/>
  <c r="AG268" i="3"/>
  <c r="AG273" i="3"/>
  <c r="AH266" i="3"/>
  <c r="AH267" i="3" s="1"/>
  <c r="AE294" i="3"/>
  <c r="C121" i="3"/>
  <c r="AF269" i="1"/>
  <c r="D120" i="1"/>
  <c r="AG273" i="1"/>
  <c r="C121" i="1"/>
  <c r="BH268" i="3"/>
  <c r="BH269" i="3" s="1"/>
  <c r="BH273" i="3"/>
  <c r="BI266" i="3"/>
  <c r="BI267" i="3" s="1"/>
  <c r="CI268" i="3"/>
  <c r="CI269" i="3" s="1"/>
  <c r="CI273" i="3"/>
  <c r="CJ266" i="3"/>
  <c r="CJ267" i="3" s="1"/>
  <c r="CQ265" i="3"/>
  <c r="CR263" i="3"/>
  <c r="BP265" i="3"/>
  <c r="BQ263" i="3"/>
  <c r="L119" i="3"/>
  <c r="AO265" i="3"/>
  <c r="AP263" i="3"/>
  <c r="BK217" i="3"/>
  <c r="BK279" i="3"/>
  <c r="BK276" i="3"/>
  <c r="BK282" i="3"/>
  <c r="BL215" i="3"/>
  <c r="G78" i="3"/>
  <c r="AJ217" i="3"/>
  <c r="H77" i="3"/>
  <c r="AJ279" i="3"/>
  <c r="H116" i="3"/>
  <c r="AJ293" i="3"/>
  <c r="AJ276" i="3"/>
  <c r="AJ282" i="3"/>
  <c r="AK215" i="3"/>
  <c r="BP255" i="3"/>
  <c r="BP278" i="3"/>
  <c r="BQ253" i="3"/>
  <c r="CQ265" i="1"/>
  <c r="CR263" i="1"/>
  <c r="BP265" i="1"/>
  <c r="BQ263" i="1"/>
  <c r="L119" i="1"/>
  <c r="AO265" i="1"/>
  <c r="AP263" i="1"/>
  <c r="CL217" i="1"/>
  <c r="CL279" i="1"/>
  <c r="CL276" i="1"/>
  <c r="CL282" i="1"/>
  <c r="CM215" i="1"/>
  <c r="BK217" i="1"/>
  <c r="BK279" i="1"/>
  <c r="BK276" i="1"/>
  <c r="BK282" i="1"/>
  <c r="BL215" i="1"/>
  <c r="G78" i="1"/>
  <c r="AJ217" i="1"/>
  <c r="H77" i="1"/>
  <c r="AJ279" i="1"/>
  <c r="AJ293" i="1"/>
  <c r="AJ276" i="1"/>
  <c r="AJ282" i="1"/>
  <c r="H116" i="1"/>
  <c r="AK215" i="1"/>
  <c r="CQ255" i="1"/>
  <c r="CQ278" i="1"/>
  <c r="CR253" i="1"/>
  <c r="BP255" i="1"/>
  <c r="BP278" i="1"/>
  <c r="BQ253" i="1"/>
  <c r="AO255" i="1"/>
  <c r="AO278" i="1"/>
  <c r="AP253" i="1"/>
  <c r="CQ278" i="3"/>
  <c r="CQ255" i="3"/>
  <c r="CR253" i="3"/>
  <c r="AO278" i="3"/>
  <c r="AO255" i="3"/>
  <c r="AP253" i="3"/>
  <c r="CK219" i="1"/>
  <c r="BJ219" i="1"/>
  <c r="AI219" i="1"/>
  <c r="AI219" i="3"/>
  <c r="BJ219" i="3"/>
  <c r="M109" i="1" l="1"/>
  <c r="M109" i="3"/>
  <c r="CK220" i="3"/>
  <c r="CL280" i="3"/>
  <c r="CM216" i="3"/>
  <c r="CM261" i="3"/>
  <c r="CL218" i="3"/>
  <c r="CJ267" i="1"/>
  <c r="BI267" i="1"/>
  <c r="AF294" i="3"/>
  <c r="D121" i="3"/>
  <c r="E120" i="3"/>
  <c r="AF294" i="1"/>
  <c r="AG269" i="1"/>
  <c r="E120" i="1"/>
  <c r="AG269" i="3"/>
  <c r="AH268" i="3"/>
  <c r="AH273" i="3"/>
  <c r="AI266" i="3"/>
  <c r="D121" i="1"/>
  <c r="AH268" i="1"/>
  <c r="AH273" i="1"/>
  <c r="AI266" i="1"/>
  <c r="CJ268" i="3"/>
  <c r="CJ269" i="3" s="1"/>
  <c r="BI268" i="3"/>
  <c r="BI269" i="3" s="1"/>
  <c r="BI273" i="3"/>
  <c r="BJ266" i="3"/>
  <c r="CJ273" i="3"/>
  <c r="CK266" i="3"/>
  <c r="CK267" i="3" s="1"/>
  <c r="DE263" i="3"/>
  <c r="CR264" i="3"/>
  <c r="CD263" i="3"/>
  <c r="BQ264" i="3"/>
  <c r="M119" i="3"/>
  <c r="BC263" i="3"/>
  <c r="AP264" i="3"/>
  <c r="BK218" i="3"/>
  <c r="BK280" i="3"/>
  <c r="BL216" i="3"/>
  <c r="BL261" i="3"/>
  <c r="AJ218" i="3"/>
  <c r="AJ280" i="3"/>
  <c r="H140" i="3"/>
  <c r="H142" i="3"/>
  <c r="H144" i="3"/>
  <c r="AK216" i="3"/>
  <c r="AK261" i="3"/>
  <c r="CD253" i="3"/>
  <c r="BQ254" i="3"/>
  <c r="DE263" i="1"/>
  <c r="CR264" i="1"/>
  <c r="CD263" i="1"/>
  <c r="BQ264" i="1"/>
  <c r="M119" i="1"/>
  <c r="BC263" i="1"/>
  <c r="AP264" i="1"/>
  <c r="CL218" i="1"/>
  <c r="CL280" i="1"/>
  <c r="CM216" i="1"/>
  <c r="CM261" i="1"/>
  <c r="BK218" i="1"/>
  <c r="BK280" i="1"/>
  <c r="BL216" i="1"/>
  <c r="BL261" i="1"/>
  <c r="AJ218" i="1"/>
  <c r="AJ280" i="1"/>
  <c r="H141" i="1" s="1"/>
  <c r="H140" i="1"/>
  <c r="H142" i="1"/>
  <c r="H144" i="1"/>
  <c r="AK216" i="1"/>
  <c r="AK261" i="1"/>
  <c r="DE253" i="1"/>
  <c r="CR254" i="1"/>
  <c r="CD253" i="1"/>
  <c r="BQ254" i="1"/>
  <c r="BC253" i="1"/>
  <c r="AP254" i="1"/>
  <c r="DE253" i="3"/>
  <c r="CR254" i="3"/>
  <c r="BC253" i="3"/>
  <c r="AP254" i="3"/>
  <c r="CK220" i="1"/>
  <c r="BJ220" i="1"/>
  <c r="AI220" i="1"/>
  <c r="G83" i="1"/>
  <c r="G79" i="1"/>
  <c r="AI220" i="3"/>
  <c r="G83" i="3"/>
  <c r="G79" i="3"/>
  <c r="BJ220" i="3"/>
  <c r="H141" i="3" l="1"/>
  <c r="G80" i="1"/>
  <c r="G80" i="3"/>
  <c r="CJ268" i="1"/>
  <c r="CJ269" i="1" s="1"/>
  <c r="CM217" i="3"/>
  <c r="CM279" i="3"/>
  <c r="CM276" i="3"/>
  <c r="CM282" i="3"/>
  <c r="CN215" i="3"/>
  <c r="CL219" i="3"/>
  <c r="BJ266" i="1"/>
  <c r="CJ273" i="1"/>
  <c r="CK266" i="1"/>
  <c r="BI273" i="1"/>
  <c r="BI268" i="1"/>
  <c r="BI269" i="1" s="1"/>
  <c r="AG294" i="3"/>
  <c r="E121" i="3"/>
  <c r="AH269" i="3"/>
  <c r="F120" i="3"/>
  <c r="CK268" i="3"/>
  <c r="CK269" i="3" s="1"/>
  <c r="CK273" i="3"/>
  <c r="CL266" i="3"/>
  <c r="E121" i="1"/>
  <c r="AG294" i="1"/>
  <c r="AH269" i="1"/>
  <c r="BJ267" i="3"/>
  <c r="AI267" i="3"/>
  <c r="AI267" i="1"/>
  <c r="DE264" i="3"/>
  <c r="CR265" i="3"/>
  <c r="CS263" i="3"/>
  <c r="CS264" i="3" s="1"/>
  <c r="CD264" i="3"/>
  <c r="BQ265" i="3"/>
  <c r="BR263" i="3"/>
  <c r="BR264" i="3" s="1"/>
  <c r="BC264" i="3"/>
  <c r="AP265" i="3"/>
  <c r="AQ263" i="3"/>
  <c r="AQ264" i="3" s="1"/>
  <c r="BL217" i="3"/>
  <c r="BL279" i="3"/>
  <c r="BL276" i="3"/>
  <c r="BL282" i="3"/>
  <c r="BM215" i="3"/>
  <c r="H78" i="3"/>
  <c r="AK217" i="3"/>
  <c r="I77" i="3"/>
  <c r="AK279" i="3"/>
  <c r="I116" i="3"/>
  <c r="AK293" i="3"/>
  <c r="AK276" i="3"/>
  <c r="AK282" i="3"/>
  <c r="AL215" i="3"/>
  <c r="CD254" i="3"/>
  <c r="BQ255" i="3"/>
  <c r="CD255" i="3" s="1"/>
  <c r="BQ278" i="3"/>
  <c r="CD278" i="3" s="1"/>
  <c r="BR253" i="3"/>
  <c r="BR254" i="3" s="1"/>
  <c r="DE264" i="1"/>
  <c r="CR265" i="1"/>
  <c r="CS263" i="1"/>
  <c r="CS264" i="1" s="1"/>
  <c r="CD264" i="1"/>
  <c r="BQ265" i="1"/>
  <c r="BR263" i="1"/>
  <c r="BR264" i="1" s="1"/>
  <c r="BC264" i="1"/>
  <c r="AP265" i="1"/>
  <c r="AQ263" i="1"/>
  <c r="AQ264" i="1" s="1"/>
  <c r="CM217" i="1"/>
  <c r="CM279" i="1"/>
  <c r="CM276" i="1"/>
  <c r="CM282" i="1"/>
  <c r="CN215" i="1"/>
  <c r="BL217" i="1"/>
  <c r="BL279" i="1"/>
  <c r="BL276" i="1"/>
  <c r="BL282" i="1"/>
  <c r="BM215" i="1"/>
  <c r="H78" i="1"/>
  <c r="AK217" i="1"/>
  <c r="I77" i="1"/>
  <c r="AK279" i="1"/>
  <c r="AK293" i="1"/>
  <c r="AK276" i="1"/>
  <c r="AK282" i="1"/>
  <c r="I116" i="1"/>
  <c r="AL215" i="1"/>
  <c r="DE254" i="1"/>
  <c r="CR255" i="1"/>
  <c r="DE255" i="1" s="1"/>
  <c r="CR278" i="1"/>
  <c r="DE278" i="1" s="1"/>
  <c r="CS253" i="1"/>
  <c r="CS254" i="1" s="1"/>
  <c r="CD254" i="1"/>
  <c r="BQ255" i="1"/>
  <c r="CD255" i="1" s="1"/>
  <c r="BQ278" i="1"/>
  <c r="CD278" i="1" s="1"/>
  <c r="BR253" i="1"/>
  <c r="BR254" i="1" s="1"/>
  <c r="BC254" i="1"/>
  <c r="AP255" i="1"/>
  <c r="AP278" i="1"/>
  <c r="BC278" i="1" s="1"/>
  <c r="AQ253" i="1"/>
  <c r="AQ254" i="1" s="1"/>
  <c r="DE254" i="3"/>
  <c r="CR255" i="3"/>
  <c r="DE255" i="3" s="1"/>
  <c r="CR278" i="3"/>
  <c r="DE278" i="3" s="1"/>
  <c r="CS253" i="3"/>
  <c r="CS254" i="3" s="1"/>
  <c r="BC254" i="3"/>
  <c r="AQ253" i="3"/>
  <c r="AQ254" i="3" s="1"/>
  <c r="AP255" i="3"/>
  <c r="AP278" i="3"/>
  <c r="BC278" i="3" s="1"/>
  <c r="BK219" i="3"/>
  <c r="BK219" i="1"/>
  <c r="AJ219" i="1"/>
  <c r="CL219" i="1"/>
  <c r="AJ219" i="3"/>
  <c r="F120" i="1" l="1"/>
  <c r="CM218" i="3"/>
  <c r="CM280" i="3"/>
  <c r="CN261" i="3"/>
  <c r="CN216" i="3"/>
  <c r="CL220" i="3"/>
  <c r="CK267" i="1"/>
  <c r="BJ267" i="1"/>
  <c r="CL267" i="3"/>
  <c r="AH294" i="3"/>
  <c r="F121" i="3"/>
  <c r="F121" i="1"/>
  <c r="AH294" i="1"/>
  <c r="BK266" i="3"/>
  <c r="BJ273" i="3"/>
  <c r="BJ268" i="3"/>
  <c r="BJ269" i="3" s="1"/>
  <c r="AJ266" i="3"/>
  <c r="AI273" i="3"/>
  <c r="AI268" i="3"/>
  <c r="AJ266" i="1"/>
  <c r="AI273" i="1"/>
  <c r="AI268" i="1"/>
  <c r="DE265" i="3"/>
  <c r="CS265" i="3"/>
  <c r="CT263" i="3"/>
  <c r="CT264" i="3" s="1"/>
  <c r="CD265" i="3"/>
  <c r="BR265" i="3"/>
  <c r="BS263" i="3"/>
  <c r="BS264" i="3" s="1"/>
  <c r="N119" i="3"/>
  <c r="BC265" i="3"/>
  <c r="AQ265" i="3"/>
  <c r="AR263" i="3"/>
  <c r="AR264" i="3" s="1"/>
  <c r="BL218" i="3"/>
  <c r="BL280" i="3"/>
  <c r="BM216" i="3"/>
  <c r="BM261" i="3"/>
  <c r="AK218" i="3"/>
  <c r="AK280" i="3"/>
  <c r="I140" i="3"/>
  <c r="I142" i="3"/>
  <c r="I144" i="3"/>
  <c r="AL216" i="3"/>
  <c r="AL261" i="3"/>
  <c r="BS253" i="3"/>
  <c r="BS254" i="3" s="1"/>
  <c r="BR255" i="3"/>
  <c r="BR278" i="3"/>
  <c r="DE265" i="1"/>
  <c r="CS265" i="1"/>
  <c r="CT263" i="1"/>
  <c r="CT264" i="1" s="1"/>
  <c r="CD265" i="1"/>
  <c r="BR265" i="1"/>
  <c r="BS263" i="1"/>
  <c r="BS264" i="1" s="1"/>
  <c r="BC265" i="1"/>
  <c r="N119" i="1"/>
  <c r="AQ265" i="1"/>
  <c r="AR263" i="1"/>
  <c r="AR264" i="1" s="1"/>
  <c r="CM218" i="1"/>
  <c r="CM280" i="1"/>
  <c r="CN216" i="1"/>
  <c r="CN261" i="1"/>
  <c r="BL218" i="1"/>
  <c r="BL280" i="1"/>
  <c r="BM216" i="1"/>
  <c r="BM261" i="1"/>
  <c r="AK218" i="1"/>
  <c r="AK280" i="1"/>
  <c r="I140" i="1"/>
  <c r="I142" i="1"/>
  <c r="I144" i="1"/>
  <c r="AL216" i="1"/>
  <c r="AL261" i="1"/>
  <c r="CS255" i="1"/>
  <c r="CS278" i="1"/>
  <c r="CT253" i="1"/>
  <c r="CT254" i="1" s="1"/>
  <c r="BR255" i="1"/>
  <c r="BR278" i="1"/>
  <c r="BS253" i="1"/>
  <c r="BS254" i="1" s="1"/>
  <c r="BC255" i="1"/>
  <c r="AB109" i="1" s="1"/>
  <c r="N109" i="1"/>
  <c r="AQ255" i="1"/>
  <c r="AQ278" i="1"/>
  <c r="AR253" i="1"/>
  <c r="AR254" i="1" s="1"/>
  <c r="CS278" i="3"/>
  <c r="CT253" i="3"/>
  <c r="CT254" i="3" s="1"/>
  <c r="CS255" i="3"/>
  <c r="AQ278" i="3"/>
  <c r="AQ255" i="3"/>
  <c r="AR253" i="3"/>
  <c r="AR254" i="3" s="1"/>
  <c r="N109" i="3"/>
  <c r="BC255" i="3"/>
  <c r="AB109" i="3" s="1"/>
  <c r="BK220" i="3"/>
  <c r="BK220" i="1"/>
  <c r="AJ220" i="1"/>
  <c r="H83" i="1"/>
  <c r="H79" i="1"/>
  <c r="CL220" i="1"/>
  <c r="AJ220" i="3"/>
  <c r="H83" i="3"/>
  <c r="H79" i="3"/>
  <c r="AB119" i="3" l="1"/>
  <c r="I141" i="3"/>
  <c r="H80" i="3"/>
  <c r="O109" i="1"/>
  <c r="O109" i="3"/>
  <c r="CL266" i="1"/>
  <c r="CK273" i="1"/>
  <c r="CK268" i="1"/>
  <c r="CK269" i="1" s="1"/>
  <c r="BK266" i="1"/>
  <c r="CM219" i="3"/>
  <c r="BJ273" i="1"/>
  <c r="BJ268" i="1"/>
  <c r="BJ269" i="1" s="1"/>
  <c r="CN276" i="3"/>
  <c r="CN282" i="3"/>
  <c r="CO215" i="3"/>
  <c r="CN217" i="3"/>
  <c r="CN279" i="3"/>
  <c r="H80" i="1"/>
  <c r="AB119" i="1"/>
  <c r="O119" i="1"/>
  <c r="I141" i="1"/>
  <c r="CL268" i="3"/>
  <c r="CL269" i="3" s="1"/>
  <c r="CM266" i="3"/>
  <c r="CL273" i="3"/>
  <c r="AI269" i="3"/>
  <c r="G120" i="3"/>
  <c r="AI269" i="1"/>
  <c r="BK267" i="3"/>
  <c r="AJ267" i="3"/>
  <c r="AJ267" i="1"/>
  <c r="CT265" i="3"/>
  <c r="CU263" i="3"/>
  <c r="CU264" i="3" s="1"/>
  <c r="BS265" i="3"/>
  <c r="BT263" i="3"/>
  <c r="BT264" i="3" s="1"/>
  <c r="O119" i="3"/>
  <c r="AR265" i="3"/>
  <c r="AS263" i="3"/>
  <c r="AS264" i="3" s="1"/>
  <c r="BM217" i="3"/>
  <c r="BM279" i="3"/>
  <c r="BM276" i="3"/>
  <c r="BM282" i="3"/>
  <c r="BN215" i="3"/>
  <c r="I78" i="3"/>
  <c r="AL217" i="3"/>
  <c r="J77" i="3"/>
  <c r="AL279" i="3"/>
  <c r="J116" i="3"/>
  <c r="AL293" i="3"/>
  <c r="AL276" i="3"/>
  <c r="AL282" i="3"/>
  <c r="AM215" i="3"/>
  <c r="BS278" i="3"/>
  <c r="BT253" i="3"/>
  <c r="BT254" i="3" s="1"/>
  <c r="BS255" i="3"/>
  <c r="CT265" i="1"/>
  <c r="CU263" i="1"/>
  <c r="CU264" i="1" s="1"/>
  <c r="BS265" i="1"/>
  <c r="BT263" i="1"/>
  <c r="BT264" i="1" s="1"/>
  <c r="AR265" i="1"/>
  <c r="AS263" i="1"/>
  <c r="AS264" i="1" s="1"/>
  <c r="CN217" i="1"/>
  <c r="CN279" i="1"/>
  <c r="CN276" i="1"/>
  <c r="CN282" i="1"/>
  <c r="CO215" i="1"/>
  <c r="BM217" i="1"/>
  <c r="BM279" i="1"/>
  <c r="BM276" i="1"/>
  <c r="BM282" i="1"/>
  <c r="BN215" i="1"/>
  <c r="I78" i="1"/>
  <c r="AL217" i="1"/>
  <c r="J77" i="1"/>
  <c r="AL279" i="1"/>
  <c r="AL293" i="1"/>
  <c r="AL276" i="1"/>
  <c r="AL282" i="1"/>
  <c r="J116" i="1"/>
  <c r="AM215" i="1"/>
  <c r="CT255" i="1"/>
  <c r="CT278" i="1"/>
  <c r="CU253" i="1"/>
  <c r="CU254" i="1" s="1"/>
  <c r="BS255" i="1"/>
  <c r="BS278" i="1"/>
  <c r="BT253" i="1"/>
  <c r="BT254" i="1" s="1"/>
  <c r="AR255" i="1"/>
  <c r="P109" i="1" s="1"/>
  <c r="AR278" i="1"/>
  <c r="AS253" i="1"/>
  <c r="AS254" i="1" s="1"/>
  <c r="CT255" i="3"/>
  <c r="CT278" i="3"/>
  <c r="CU253" i="3"/>
  <c r="CU254" i="3" s="1"/>
  <c r="AR255" i="3"/>
  <c r="AR278" i="3"/>
  <c r="AS253" i="3"/>
  <c r="AS254" i="3" s="1"/>
  <c r="BL219" i="3"/>
  <c r="CM219" i="1"/>
  <c r="BL219" i="1"/>
  <c r="AK219" i="1"/>
  <c r="AK219" i="3"/>
  <c r="G120" i="1" l="1"/>
  <c r="P109" i="3"/>
  <c r="CL267" i="1"/>
  <c r="BK267" i="1"/>
  <c r="CM220" i="3"/>
  <c r="CO216" i="3"/>
  <c r="CO261" i="3"/>
  <c r="CN218" i="3"/>
  <c r="CN280" i="3"/>
  <c r="P119" i="1"/>
  <c r="CM267" i="3"/>
  <c r="BK273" i="3"/>
  <c r="AJ268" i="3"/>
  <c r="AJ273" i="1"/>
  <c r="AI294" i="3"/>
  <c r="G121" i="3"/>
  <c r="G121" i="1"/>
  <c r="AI294" i="1"/>
  <c r="BL266" i="3"/>
  <c r="BK268" i="3"/>
  <c r="BK269" i="3" s="1"/>
  <c r="AK266" i="3"/>
  <c r="AJ273" i="3"/>
  <c r="AK266" i="1"/>
  <c r="AJ268" i="1"/>
  <c r="CU265" i="3"/>
  <c r="CV263" i="3"/>
  <c r="CV264" i="3" s="1"/>
  <c r="BT265" i="3"/>
  <c r="BU263" i="3"/>
  <c r="BU264" i="3" s="1"/>
  <c r="P119" i="3"/>
  <c r="AS265" i="3"/>
  <c r="AT263" i="3"/>
  <c r="AT264" i="3" s="1"/>
  <c r="BM218" i="3"/>
  <c r="BM280" i="3"/>
  <c r="BN216" i="3"/>
  <c r="BN261" i="3"/>
  <c r="AL218" i="3"/>
  <c r="AL280" i="3"/>
  <c r="J140" i="3"/>
  <c r="J142" i="3"/>
  <c r="J144" i="3"/>
  <c r="AM216" i="3"/>
  <c r="AM261" i="3"/>
  <c r="BU253" i="3"/>
  <c r="BU254" i="3" s="1"/>
  <c r="BT255" i="3"/>
  <c r="BT278" i="3"/>
  <c r="CU265" i="1"/>
  <c r="CV263" i="1"/>
  <c r="CV264" i="1" s="1"/>
  <c r="BT265" i="1"/>
  <c r="BU263" i="1"/>
  <c r="BU264" i="1" s="1"/>
  <c r="AS265" i="1"/>
  <c r="AT263" i="1"/>
  <c r="AT264" i="1" s="1"/>
  <c r="CN218" i="1"/>
  <c r="CN280" i="1"/>
  <c r="CO216" i="1"/>
  <c r="CO261" i="1"/>
  <c r="BM218" i="1"/>
  <c r="BM280" i="1"/>
  <c r="BN216" i="1"/>
  <c r="BN261" i="1"/>
  <c r="AL218" i="1"/>
  <c r="AL280" i="1"/>
  <c r="J140" i="1"/>
  <c r="J142" i="1"/>
  <c r="J144" i="1"/>
  <c r="AM216" i="1"/>
  <c r="AM261" i="1"/>
  <c r="CU255" i="1"/>
  <c r="CU278" i="1"/>
  <c r="CV253" i="1"/>
  <c r="CV254" i="1" s="1"/>
  <c r="BT255" i="1"/>
  <c r="BT278" i="1"/>
  <c r="BU253" i="1"/>
  <c r="BU254" i="1" s="1"/>
  <c r="AS255" i="1"/>
  <c r="AS278" i="1"/>
  <c r="AT253" i="1"/>
  <c r="AT254" i="1" s="1"/>
  <c r="CU255" i="3"/>
  <c r="CV253" i="3"/>
  <c r="CV254" i="3" s="1"/>
  <c r="CU278" i="3"/>
  <c r="AS255" i="3"/>
  <c r="AT253" i="3"/>
  <c r="AT254" i="3" s="1"/>
  <c r="AS278" i="3"/>
  <c r="BL220" i="3"/>
  <c r="CM220" i="1"/>
  <c r="BL220" i="1"/>
  <c r="AK220" i="1"/>
  <c r="I80" i="1" s="1"/>
  <c r="I83" i="1"/>
  <c r="I79" i="1"/>
  <c r="AK220" i="3"/>
  <c r="I83" i="3"/>
  <c r="I79" i="3"/>
  <c r="I80" i="3" l="1"/>
  <c r="J141" i="1"/>
  <c r="Q109" i="1"/>
  <c r="Q109" i="3"/>
  <c r="J141" i="3"/>
  <c r="CM266" i="1"/>
  <c r="CL273" i="1"/>
  <c r="CL268" i="1"/>
  <c r="CL269" i="1" s="1"/>
  <c r="BL266" i="1"/>
  <c r="BK273" i="1"/>
  <c r="BK268" i="1"/>
  <c r="BK269" i="1" s="1"/>
  <c r="CO217" i="3"/>
  <c r="CO279" i="3"/>
  <c r="CO276" i="3"/>
  <c r="CO282" i="3"/>
  <c r="CP215" i="3"/>
  <c r="CN219" i="3"/>
  <c r="Q119" i="1"/>
  <c r="CN266" i="3"/>
  <c r="CM273" i="3"/>
  <c r="CM268" i="3"/>
  <c r="CM269" i="3" s="1"/>
  <c r="AJ269" i="3"/>
  <c r="H120" i="3"/>
  <c r="AK267" i="3"/>
  <c r="BL267" i="3"/>
  <c r="AK267" i="1"/>
  <c r="AJ269" i="1"/>
  <c r="BM219" i="3"/>
  <c r="CV265" i="3"/>
  <c r="CW263" i="3"/>
  <c r="CW264" i="3" s="1"/>
  <c r="BU265" i="3"/>
  <c r="BV263" i="3"/>
  <c r="BV264" i="3" s="1"/>
  <c r="Q119" i="3"/>
  <c r="AT265" i="3"/>
  <c r="AU263" i="3"/>
  <c r="AU264" i="3" s="1"/>
  <c r="BN217" i="3"/>
  <c r="BN279" i="3"/>
  <c r="BN276" i="3"/>
  <c r="BN282" i="3"/>
  <c r="BO215" i="3"/>
  <c r="J78" i="3"/>
  <c r="AM217" i="3"/>
  <c r="K77" i="3"/>
  <c r="AM279" i="3"/>
  <c r="K116" i="3"/>
  <c r="AM293" i="3"/>
  <c r="AM276" i="3"/>
  <c r="AM282" i="3"/>
  <c r="AN215" i="3"/>
  <c r="BU278" i="3"/>
  <c r="BV253" i="3"/>
  <c r="BV254" i="3" s="1"/>
  <c r="BU255" i="3"/>
  <c r="CV265" i="1"/>
  <c r="CW263" i="1"/>
  <c r="CW264" i="1" s="1"/>
  <c r="BU265" i="1"/>
  <c r="BV263" i="1"/>
  <c r="BV264" i="1" s="1"/>
  <c r="AT265" i="1"/>
  <c r="R119" i="1" s="1"/>
  <c r="AU263" i="1"/>
  <c r="AU264" i="1" s="1"/>
  <c r="CO217" i="1"/>
  <c r="CO279" i="1"/>
  <c r="CO276" i="1"/>
  <c r="CO282" i="1"/>
  <c r="CP215" i="1"/>
  <c r="BN217" i="1"/>
  <c r="BN279" i="1"/>
  <c r="BN276" i="1"/>
  <c r="BN282" i="1"/>
  <c r="BO215" i="1"/>
  <c r="J78" i="1"/>
  <c r="AM217" i="1"/>
  <c r="K77" i="1"/>
  <c r="AM279" i="1"/>
  <c r="AM293" i="1"/>
  <c r="AM276" i="1"/>
  <c r="AM282" i="1"/>
  <c r="K116" i="1"/>
  <c r="AN215" i="1"/>
  <c r="CV255" i="1"/>
  <c r="CV278" i="1"/>
  <c r="CW253" i="1"/>
  <c r="CW254" i="1" s="1"/>
  <c r="BU255" i="1"/>
  <c r="BU278" i="1"/>
  <c r="BV253" i="1"/>
  <c r="BV254" i="1" s="1"/>
  <c r="AT255" i="1"/>
  <c r="R109" i="1" s="1"/>
  <c r="AT278" i="1"/>
  <c r="AU253" i="1"/>
  <c r="AU254" i="1" s="1"/>
  <c r="CV278" i="3"/>
  <c r="CW253" i="3"/>
  <c r="CW254" i="3" s="1"/>
  <c r="CV255" i="3"/>
  <c r="AT278" i="3"/>
  <c r="AT255" i="3"/>
  <c r="R109" i="3" s="1"/>
  <c r="AU253" i="3"/>
  <c r="AU254" i="3" s="1"/>
  <c r="AL219" i="3"/>
  <c r="CN219" i="1"/>
  <c r="BM219" i="1"/>
  <c r="AL219" i="1"/>
  <c r="H120" i="1" l="1"/>
  <c r="CM267" i="1"/>
  <c r="BL267" i="1"/>
  <c r="CO218" i="3"/>
  <c r="CO280" i="3"/>
  <c r="CP261" i="3"/>
  <c r="CP216" i="3"/>
  <c r="CN220" i="3"/>
  <c r="BM220" i="3"/>
  <c r="BL273" i="3"/>
  <c r="AL266" i="3"/>
  <c r="AK268" i="3"/>
  <c r="AK268" i="1"/>
  <c r="CN267" i="3"/>
  <c r="BM266" i="3"/>
  <c r="AL266" i="1"/>
  <c r="AJ294" i="3"/>
  <c r="H121" i="3"/>
  <c r="H121" i="1"/>
  <c r="AJ294" i="1"/>
  <c r="BL268" i="3"/>
  <c r="BL269" i="3" s="1"/>
  <c r="AK273" i="3"/>
  <c r="AK273" i="1"/>
  <c r="CW265" i="3"/>
  <c r="CX263" i="3"/>
  <c r="CX264" i="3" s="1"/>
  <c r="BV265" i="3"/>
  <c r="BW263" i="3"/>
  <c r="BW264" i="3" s="1"/>
  <c r="R119" i="3"/>
  <c r="AU265" i="3"/>
  <c r="AV263" i="3"/>
  <c r="AV264" i="3" s="1"/>
  <c r="BN218" i="3"/>
  <c r="BN280" i="3"/>
  <c r="BO216" i="3"/>
  <c r="BO261" i="3"/>
  <c r="AM218" i="3"/>
  <c r="AM280" i="3"/>
  <c r="K140" i="3"/>
  <c r="K142" i="3"/>
  <c r="K144" i="3"/>
  <c r="AN216" i="3"/>
  <c r="AN261" i="3"/>
  <c r="BV255" i="3"/>
  <c r="BV278" i="3"/>
  <c r="BW253" i="3"/>
  <c r="BW254" i="3" s="1"/>
  <c r="CW265" i="1"/>
  <c r="CX263" i="1"/>
  <c r="CX264" i="1" s="1"/>
  <c r="BV265" i="1"/>
  <c r="BW263" i="1"/>
  <c r="BW264" i="1" s="1"/>
  <c r="AU265" i="1"/>
  <c r="AV263" i="1"/>
  <c r="AV264" i="1" s="1"/>
  <c r="CO218" i="1"/>
  <c r="CO280" i="1"/>
  <c r="CP216" i="1"/>
  <c r="CP261" i="1"/>
  <c r="BN218" i="1"/>
  <c r="BN280" i="1"/>
  <c r="BO216" i="1"/>
  <c r="BO261" i="1"/>
  <c r="AM218" i="1"/>
  <c r="AM280" i="1"/>
  <c r="K140" i="1"/>
  <c r="K142" i="1"/>
  <c r="K144" i="1"/>
  <c r="AN216" i="1"/>
  <c r="AN261" i="1"/>
  <c r="CW255" i="1"/>
  <c r="CW278" i="1"/>
  <c r="CX253" i="1"/>
  <c r="CX254" i="1" s="1"/>
  <c r="BV255" i="1"/>
  <c r="BV278" i="1"/>
  <c r="BW253" i="1"/>
  <c r="BW254" i="1" s="1"/>
  <c r="AU255" i="1"/>
  <c r="AU278" i="1"/>
  <c r="AV253" i="1"/>
  <c r="AV254" i="1" s="1"/>
  <c r="CW255" i="3"/>
  <c r="CX253" i="3"/>
  <c r="CX254" i="3" s="1"/>
  <c r="CW278" i="3"/>
  <c r="AU255" i="3"/>
  <c r="AV253" i="3"/>
  <c r="AV254" i="3" s="1"/>
  <c r="AU278" i="3"/>
  <c r="AL220" i="3"/>
  <c r="J83" i="3"/>
  <c r="J79" i="3"/>
  <c r="CN220" i="1"/>
  <c r="BM220" i="1"/>
  <c r="AL220" i="1"/>
  <c r="J80" i="1" s="1"/>
  <c r="J83" i="1"/>
  <c r="J79" i="1"/>
  <c r="K141" i="3" l="1"/>
  <c r="S119" i="1"/>
  <c r="K141" i="1"/>
  <c r="S109" i="3"/>
  <c r="J80" i="3"/>
  <c r="CN266" i="1"/>
  <c r="CM268" i="1"/>
  <c r="CM269" i="1" s="1"/>
  <c r="CM273" i="1"/>
  <c r="BL273" i="1"/>
  <c r="BL268" i="1"/>
  <c r="BL269" i="1" s="1"/>
  <c r="BM266" i="1"/>
  <c r="CP276" i="3"/>
  <c r="CP282" i="3"/>
  <c r="CQ215" i="3"/>
  <c r="CP217" i="3"/>
  <c r="CP279" i="3"/>
  <c r="CO219" i="3"/>
  <c r="S109" i="1"/>
  <c r="BM267" i="3"/>
  <c r="AL267" i="3"/>
  <c r="AK269" i="3"/>
  <c r="I120" i="3"/>
  <c r="AK269" i="1"/>
  <c r="CO266" i="3"/>
  <c r="CN273" i="3"/>
  <c r="CN268" i="3"/>
  <c r="CN269" i="3" s="1"/>
  <c r="AL267" i="1"/>
  <c r="BN219" i="3"/>
  <c r="AM219" i="3"/>
  <c r="CX265" i="3"/>
  <c r="CY263" i="3"/>
  <c r="CY264" i="3" s="1"/>
  <c r="BW265" i="3"/>
  <c r="BX263" i="3"/>
  <c r="BX264" i="3" s="1"/>
  <c r="S119" i="3"/>
  <c r="AV265" i="3"/>
  <c r="AW263" i="3"/>
  <c r="AW264" i="3" s="1"/>
  <c r="BO217" i="3"/>
  <c r="BO279" i="3"/>
  <c r="BO276" i="3"/>
  <c r="BO282" i="3"/>
  <c r="BP215" i="3"/>
  <c r="K78" i="3"/>
  <c r="AN217" i="3"/>
  <c r="L77" i="3"/>
  <c r="AN279" i="3"/>
  <c r="L116" i="3"/>
  <c r="AN293" i="3"/>
  <c r="AN276" i="3"/>
  <c r="AN282" i="3"/>
  <c r="AO215" i="3"/>
  <c r="BW255" i="3"/>
  <c r="BX253" i="3"/>
  <c r="BX254" i="3" s="1"/>
  <c r="BW278" i="3"/>
  <c r="CX265" i="1"/>
  <c r="CY263" i="1"/>
  <c r="CY264" i="1" s="1"/>
  <c r="BW265" i="1"/>
  <c r="BX263" i="1"/>
  <c r="BX264" i="1" s="1"/>
  <c r="AV265" i="1"/>
  <c r="T119" i="1" s="1"/>
  <c r="AW263" i="1"/>
  <c r="AW264" i="1" s="1"/>
  <c r="CP217" i="1"/>
  <c r="CP279" i="1"/>
  <c r="CP276" i="1"/>
  <c r="CP282" i="1"/>
  <c r="CQ215" i="1"/>
  <c r="BO217" i="1"/>
  <c r="BO279" i="1"/>
  <c r="BO276" i="1"/>
  <c r="BO282" i="1"/>
  <c r="BP215" i="1"/>
  <c r="K78" i="1"/>
  <c r="AN217" i="1"/>
  <c r="L77" i="1"/>
  <c r="AN279" i="1"/>
  <c r="AN293" i="1"/>
  <c r="AN276" i="1"/>
  <c r="AN282" i="1"/>
  <c r="L116" i="1"/>
  <c r="AO215" i="1"/>
  <c r="CX255" i="1"/>
  <c r="CX278" i="1"/>
  <c r="CY253" i="1"/>
  <c r="CY254" i="1" s="1"/>
  <c r="BW255" i="1"/>
  <c r="BW278" i="1"/>
  <c r="BX253" i="1"/>
  <c r="BX254" i="1" s="1"/>
  <c r="AV255" i="1"/>
  <c r="T109" i="1" s="1"/>
  <c r="AV278" i="1"/>
  <c r="AW253" i="1"/>
  <c r="AW254" i="1" s="1"/>
  <c r="CX255" i="3"/>
  <c r="CX278" i="3"/>
  <c r="CY253" i="3"/>
  <c r="CY254" i="3" s="1"/>
  <c r="AV255" i="3"/>
  <c r="AV278" i="3"/>
  <c r="AW253" i="3"/>
  <c r="AW254" i="3" s="1"/>
  <c r="CO219" i="1"/>
  <c r="BN219" i="1"/>
  <c r="AM219" i="1"/>
  <c r="I120" i="1" l="1"/>
  <c r="T109" i="3"/>
  <c r="CN267" i="1"/>
  <c r="BM267" i="1"/>
  <c r="BM268" i="3"/>
  <c r="BM269" i="3" s="1"/>
  <c r="BM273" i="3"/>
  <c r="BN266" i="3"/>
  <c r="CQ216" i="3"/>
  <c r="CQ261" i="3"/>
  <c r="CP218" i="3"/>
  <c r="CP280" i="3"/>
  <c r="CO220" i="3"/>
  <c r="AL268" i="3"/>
  <c r="AL273" i="3"/>
  <c r="AM266" i="3"/>
  <c r="AM267" i="3" s="1"/>
  <c r="CO267" i="3"/>
  <c r="AK294" i="3"/>
  <c r="I121" i="3"/>
  <c r="I121" i="1"/>
  <c r="AK294" i="1"/>
  <c r="AM266" i="1"/>
  <c r="AL273" i="1"/>
  <c r="AL268" i="1"/>
  <c r="BN220" i="3"/>
  <c r="AM220" i="3"/>
  <c r="K79" i="3"/>
  <c r="K83" i="3"/>
  <c r="CY265" i="3"/>
  <c r="CZ263" i="3"/>
  <c r="CZ264" i="3" s="1"/>
  <c r="BX265" i="3"/>
  <c r="BY263" i="3"/>
  <c r="BY264" i="3" s="1"/>
  <c r="T119" i="3"/>
  <c r="AW265" i="3"/>
  <c r="AX263" i="3"/>
  <c r="AX264" i="3" s="1"/>
  <c r="BO218" i="3"/>
  <c r="BO280" i="3"/>
  <c r="BP216" i="3"/>
  <c r="BP261" i="3"/>
  <c r="AN218" i="3"/>
  <c r="AN280" i="3"/>
  <c r="L140" i="3"/>
  <c r="L142" i="3"/>
  <c r="L144" i="3"/>
  <c r="AO216" i="3"/>
  <c r="AO261" i="3"/>
  <c r="BX255" i="3"/>
  <c r="BX278" i="3"/>
  <c r="BY253" i="3"/>
  <c r="BY254" i="3" s="1"/>
  <c r="CY265" i="1"/>
  <c r="CZ263" i="1"/>
  <c r="CZ264" i="1" s="1"/>
  <c r="BX265" i="1"/>
  <c r="BY263" i="1"/>
  <c r="BY264" i="1" s="1"/>
  <c r="AW265" i="1"/>
  <c r="U119" i="1" s="1"/>
  <c r="AX263" i="1"/>
  <c r="AX264" i="1" s="1"/>
  <c r="CP218" i="1"/>
  <c r="CP280" i="1"/>
  <c r="CQ216" i="1"/>
  <c r="CQ261" i="1"/>
  <c r="BO218" i="1"/>
  <c r="BO280" i="1"/>
  <c r="BP216" i="1"/>
  <c r="BP261" i="1"/>
  <c r="AN218" i="1"/>
  <c r="AN280" i="1"/>
  <c r="L140" i="1"/>
  <c r="L142" i="1"/>
  <c r="L144" i="1"/>
  <c r="AO216" i="1"/>
  <c r="AO261" i="1"/>
  <c r="CY255" i="1"/>
  <c r="CY278" i="1"/>
  <c r="CZ253" i="1"/>
  <c r="CZ254" i="1" s="1"/>
  <c r="BX255" i="1"/>
  <c r="BX278" i="1"/>
  <c r="BY253" i="1"/>
  <c r="BY254" i="1" s="1"/>
  <c r="AW255" i="1"/>
  <c r="U109" i="1" s="1"/>
  <c r="AW278" i="1"/>
  <c r="AX253" i="1"/>
  <c r="AX254" i="1" s="1"/>
  <c r="CY255" i="3"/>
  <c r="CZ253" i="3"/>
  <c r="CZ254" i="3" s="1"/>
  <c r="CY278" i="3"/>
  <c r="AX253" i="3"/>
  <c r="AX254" i="3" s="1"/>
  <c r="AW255" i="3"/>
  <c r="AW278" i="3"/>
  <c r="CO220" i="1"/>
  <c r="BN220" i="1"/>
  <c r="AM220" i="1"/>
  <c r="K80" i="1" s="1"/>
  <c r="K83" i="1"/>
  <c r="K79" i="1"/>
  <c r="K80" i="3" l="1"/>
  <c r="L141" i="1"/>
  <c r="L141" i="3"/>
  <c r="CN273" i="1"/>
  <c r="CN268" i="1"/>
  <c r="CN269" i="1" s="1"/>
  <c r="U109" i="3"/>
  <c r="CO266" i="1"/>
  <c r="BN266" i="1"/>
  <c r="BM273" i="1"/>
  <c r="BM268" i="1"/>
  <c r="BM269" i="1" s="1"/>
  <c r="BN267" i="3"/>
  <c r="CQ217" i="3"/>
  <c r="CQ279" i="3"/>
  <c r="CQ276" i="3"/>
  <c r="CQ282" i="3"/>
  <c r="CR215" i="3"/>
  <c r="CP219" i="3"/>
  <c r="AM267" i="1"/>
  <c r="AL269" i="3"/>
  <c r="J120" i="3"/>
  <c r="AM268" i="3"/>
  <c r="AM273" i="3"/>
  <c r="AN266" i="3"/>
  <c r="CO268" i="3"/>
  <c r="CO269" i="3" s="1"/>
  <c r="CO273" i="3"/>
  <c r="CP266" i="3"/>
  <c r="AL269" i="1"/>
  <c r="BO219" i="3"/>
  <c r="CZ265" i="3"/>
  <c r="DA263" i="3"/>
  <c r="DA264" i="3" s="1"/>
  <c r="BY265" i="3"/>
  <c r="BZ263" i="3"/>
  <c r="BZ264" i="3" s="1"/>
  <c r="U119" i="3"/>
  <c r="AX265" i="3"/>
  <c r="AY263" i="3"/>
  <c r="AY264" i="3" s="1"/>
  <c r="BP217" i="3"/>
  <c r="BP279" i="3"/>
  <c r="BP276" i="3"/>
  <c r="BP282" i="3"/>
  <c r="BQ215" i="3"/>
  <c r="L78" i="3"/>
  <c r="AO217" i="3"/>
  <c r="M77" i="3"/>
  <c r="AO279" i="3"/>
  <c r="M116" i="3"/>
  <c r="AO293" i="3"/>
  <c r="AO276" i="3"/>
  <c r="AO282" i="3"/>
  <c r="AP215" i="3"/>
  <c r="BY278" i="3"/>
  <c r="BY255" i="3"/>
  <c r="BZ253" i="3"/>
  <c r="BZ254" i="3" s="1"/>
  <c r="CZ265" i="1"/>
  <c r="DA263" i="1"/>
  <c r="DA264" i="1" s="1"/>
  <c r="BY265" i="1"/>
  <c r="BZ263" i="1"/>
  <c r="BZ264" i="1" s="1"/>
  <c r="AX265" i="1"/>
  <c r="V119" i="1" s="1"/>
  <c r="AY263" i="1"/>
  <c r="AY264" i="1" s="1"/>
  <c r="CQ217" i="1"/>
  <c r="CQ279" i="1"/>
  <c r="CQ276" i="1"/>
  <c r="CQ282" i="1"/>
  <c r="CR215" i="1"/>
  <c r="BP217" i="1"/>
  <c r="BP279" i="1"/>
  <c r="BP276" i="1"/>
  <c r="BP282" i="1"/>
  <c r="BQ215" i="1"/>
  <c r="L78" i="1"/>
  <c r="AO217" i="1"/>
  <c r="M77" i="1"/>
  <c r="AO279" i="1"/>
  <c r="AO293" i="1"/>
  <c r="AO276" i="1"/>
  <c r="AO282" i="1"/>
  <c r="M116" i="1"/>
  <c r="AP215" i="1"/>
  <c r="CZ255" i="1"/>
  <c r="CZ278" i="1"/>
  <c r="DA253" i="1"/>
  <c r="DA254" i="1" s="1"/>
  <c r="BY255" i="1"/>
  <c r="BY278" i="1"/>
  <c r="BZ253" i="1"/>
  <c r="BZ254" i="1" s="1"/>
  <c r="AX255" i="1"/>
  <c r="AX278" i="1"/>
  <c r="AY253" i="1"/>
  <c r="AY254" i="1" s="1"/>
  <c r="CZ255" i="3"/>
  <c r="CZ278" i="3"/>
  <c r="DA253" i="3"/>
  <c r="DA254" i="3" s="1"/>
  <c r="AX255" i="3"/>
  <c r="V109" i="3" s="1"/>
  <c r="AY253" i="3"/>
  <c r="AY254" i="3" s="1"/>
  <c r="AX278" i="3"/>
  <c r="AN219" i="3"/>
  <c r="CP219" i="1"/>
  <c r="BO219" i="1"/>
  <c r="AN219" i="1"/>
  <c r="J120" i="1" l="1"/>
  <c r="CO267" i="1"/>
  <c r="BN267" i="1"/>
  <c r="BN268" i="3"/>
  <c r="BN269" i="3" s="1"/>
  <c r="BN273" i="3"/>
  <c r="BO266" i="3"/>
  <c r="CQ218" i="3"/>
  <c r="CQ280" i="3"/>
  <c r="DE215" i="3"/>
  <c r="CR261" i="3"/>
  <c r="CR216" i="3"/>
  <c r="CP220" i="3"/>
  <c r="V109" i="1"/>
  <c r="AM269" i="3"/>
  <c r="AL294" i="3"/>
  <c r="J121" i="3"/>
  <c r="J121" i="1"/>
  <c r="AL294" i="1"/>
  <c r="CP267" i="3"/>
  <c r="AN266" i="1"/>
  <c r="AM273" i="1"/>
  <c r="AM268" i="1"/>
  <c r="BO220" i="3"/>
  <c r="DA265" i="3"/>
  <c r="DB263" i="3"/>
  <c r="DB264" i="3" s="1"/>
  <c r="BZ265" i="3"/>
  <c r="CA263" i="3"/>
  <c r="CA264" i="3" s="1"/>
  <c r="V119" i="3"/>
  <c r="AY265" i="3"/>
  <c r="AZ263" i="3"/>
  <c r="AZ264" i="3" s="1"/>
  <c r="BP218" i="3"/>
  <c r="BP280" i="3"/>
  <c r="CD215" i="3"/>
  <c r="BQ216" i="3"/>
  <c r="BQ261" i="3"/>
  <c r="AO218" i="3"/>
  <c r="AO280" i="3"/>
  <c r="M140" i="3"/>
  <c r="M142" i="3"/>
  <c r="M144" i="3"/>
  <c r="BC215" i="3"/>
  <c r="AP216" i="3"/>
  <c r="AP261" i="3"/>
  <c r="BZ255" i="3"/>
  <c r="BZ278" i="3"/>
  <c r="CA253" i="3"/>
  <c r="CA254" i="3" s="1"/>
  <c r="DA265" i="1"/>
  <c r="DB263" i="1"/>
  <c r="DB264" i="1" s="1"/>
  <c r="BZ265" i="1"/>
  <c r="CA263" i="1"/>
  <c r="CA264" i="1" s="1"/>
  <c r="AY265" i="1"/>
  <c r="AZ263" i="1"/>
  <c r="AZ264" i="1" s="1"/>
  <c r="CQ218" i="1"/>
  <c r="CQ280" i="1"/>
  <c r="DE215" i="1"/>
  <c r="CR216" i="1"/>
  <c r="CR261" i="1"/>
  <c r="BP218" i="1"/>
  <c r="BP280" i="1"/>
  <c r="CD215" i="1"/>
  <c r="BQ216" i="1"/>
  <c r="BQ261" i="1"/>
  <c r="AO218" i="1"/>
  <c r="AO280" i="1"/>
  <c r="M140" i="1"/>
  <c r="M142" i="1"/>
  <c r="M144" i="1"/>
  <c r="BC215" i="1"/>
  <c r="AP216" i="1"/>
  <c r="AP261" i="1"/>
  <c r="DA255" i="1"/>
  <c r="DA278" i="1"/>
  <c r="DB253" i="1"/>
  <c r="DB254" i="1" s="1"/>
  <c r="BZ255" i="1"/>
  <c r="BZ278" i="1"/>
  <c r="CA253" i="1"/>
  <c r="CA254" i="1" s="1"/>
  <c r="AY255" i="1"/>
  <c r="AY278" i="1"/>
  <c r="AZ253" i="1"/>
  <c r="AZ254" i="1" s="1"/>
  <c r="DA255" i="3"/>
  <c r="DA278" i="3"/>
  <c r="DB253" i="3"/>
  <c r="DB254" i="3" s="1"/>
  <c r="AY255" i="3"/>
  <c r="AY278" i="3"/>
  <c r="AZ253" i="3"/>
  <c r="AZ254" i="3" s="1"/>
  <c r="AN220" i="3"/>
  <c r="L83" i="3"/>
  <c r="L79" i="3"/>
  <c r="AN267" i="3"/>
  <c r="CP220" i="1"/>
  <c r="BO220" i="1"/>
  <c r="AN220" i="1"/>
  <c r="L80" i="1" s="1"/>
  <c r="L83" i="1"/>
  <c r="L79" i="1"/>
  <c r="M141" i="3" l="1"/>
  <c r="K120" i="3"/>
  <c r="W109" i="3"/>
  <c r="CO268" i="1"/>
  <c r="CO269" i="1" s="1"/>
  <c r="CO273" i="1"/>
  <c r="CP266" i="1"/>
  <c r="L80" i="3"/>
  <c r="BN273" i="1"/>
  <c r="BN268" i="1"/>
  <c r="BN269" i="1" s="1"/>
  <c r="BO267" i="3"/>
  <c r="BO266" i="1"/>
  <c r="DE261" i="3"/>
  <c r="CR276" i="3"/>
  <c r="DE276" i="3" s="1"/>
  <c r="CR282" i="3"/>
  <c r="DE282" i="3"/>
  <c r="CS215" i="3"/>
  <c r="DE216" i="3"/>
  <c r="CR217" i="3"/>
  <c r="CR279" i="3"/>
  <c r="CQ219" i="3"/>
  <c r="M141" i="1"/>
  <c r="W119" i="1"/>
  <c r="W109" i="1"/>
  <c r="AM294" i="3"/>
  <c r="K121" i="3"/>
  <c r="AN267" i="1"/>
  <c r="CQ266" i="3"/>
  <c r="CP273" i="3"/>
  <c r="CP268" i="3"/>
  <c r="CP269" i="3" s="1"/>
  <c r="AM269" i="1"/>
  <c r="BP219" i="3"/>
  <c r="AO219" i="3"/>
  <c r="DB265" i="3"/>
  <c r="DC263" i="3"/>
  <c r="DC264" i="3" s="1"/>
  <c r="CA265" i="3"/>
  <c r="CB263" i="3"/>
  <c r="CB264" i="3" s="1"/>
  <c r="W119" i="3"/>
  <c r="AZ265" i="3"/>
  <c r="BA263" i="3"/>
  <c r="BA264" i="3" s="1"/>
  <c r="CD216" i="3"/>
  <c r="BQ217" i="3"/>
  <c r="BQ279" i="3"/>
  <c r="CD261" i="3"/>
  <c r="BQ276" i="3"/>
  <c r="CD276" i="3" s="1"/>
  <c r="BQ282" i="3"/>
  <c r="CD282" i="3"/>
  <c r="BR215" i="3"/>
  <c r="M78" i="3"/>
  <c r="BC216" i="3"/>
  <c r="AP217" i="3"/>
  <c r="N77" i="3"/>
  <c r="AP279" i="3"/>
  <c r="N116" i="3"/>
  <c r="AP293" i="3"/>
  <c r="BC261" i="3"/>
  <c r="AP276" i="3"/>
  <c r="BC276" i="3" s="1"/>
  <c r="AP282" i="3"/>
  <c r="BC282" i="3"/>
  <c r="AQ215" i="3"/>
  <c r="CA278" i="3"/>
  <c r="CA255" i="3"/>
  <c r="CB253" i="3"/>
  <c r="CB254" i="3" s="1"/>
  <c r="DB265" i="1"/>
  <c r="DC263" i="1"/>
  <c r="DC264" i="1" s="1"/>
  <c r="CA265" i="1"/>
  <c r="CB263" i="1"/>
  <c r="CB264" i="1" s="1"/>
  <c r="AZ265" i="1"/>
  <c r="BA263" i="1"/>
  <c r="BA264" i="1" s="1"/>
  <c r="DE216" i="1"/>
  <c r="CR217" i="1"/>
  <c r="CR279" i="1"/>
  <c r="DE261" i="1"/>
  <c r="CR276" i="1"/>
  <c r="DE276" i="1" s="1"/>
  <c r="CR282" i="1"/>
  <c r="DE282" i="1"/>
  <c r="CS215" i="1"/>
  <c r="CD216" i="1"/>
  <c r="BQ217" i="1"/>
  <c r="BQ279" i="1"/>
  <c r="CD261" i="1"/>
  <c r="BQ276" i="1"/>
  <c r="CD276" i="1" s="1"/>
  <c r="BQ282" i="1"/>
  <c r="CD282" i="1"/>
  <c r="BR215" i="1"/>
  <c r="M78" i="1"/>
  <c r="BC216" i="1"/>
  <c r="AP217" i="1"/>
  <c r="N77" i="1"/>
  <c r="AP279" i="1"/>
  <c r="AP293" i="1"/>
  <c r="BC261" i="1"/>
  <c r="AP276" i="1"/>
  <c r="BC276" i="1" s="1"/>
  <c r="AP282" i="1"/>
  <c r="BC282" i="1"/>
  <c r="N116" i="1"/>
  <c r="AQ215" i="1"/>
  <c r="DB255" i="1"/>
  <c r="DB278" i="1"/>
  <c r="DC253" i="1"/>
  <c r="DC254" i="1" s="1"/>
  <c r="CA255" i="1"/>
  <c r="CA278" i="1"/>
  <c r="CB253" i="1"/>
  <c r="CB254" i="1" s="1"/>
  <c r="AZ255" i="1"/>
  <c r="X109" i="1" s="1"/>
  <c r="AZ278" i="1"/>
  <c r="BA253" i="1"/>
  <c r="BA254" i="1" s="1"/>
  <c r="DB255" i="3"/>
  <c r="DB278" i="3"/>
  <c r="DC253" i="3"/>
  <c r="DC254" i="3" s="1"/>
  <c r="AZ255" i="3"/>
  <c r="BA253" i="3"/>
  <c r="BA254" i="3" s="1"/>
  <c r="AZ278" i="3"/>
  <c r="AO266" i="3"/>
  <c r="AN273" i="3"/>
  <c r="AN268" i="3"/>
  <c r="CQ219" i="1"/>
  <c r="BP219" i="1"/>
  <c r="AO219" i="1"/>
  <c r="AB142" i="3" l="1"/>
  <c r="AB142" i="1"/>
  <c r="K120" i="1"/>
  <c r="AB77" i="3"/>
  <c r="AB116" i="3"/>
  <c r="CP267" i="1"/>
  <c r="X109" i="3"/>
  <c r="BO267" i="1"/>
  <c r="BP266" i="3"/>
  <c r="BO273" i="3"/>
  <c r="BO268" i="3"/>
  <c r="BO269" i="3" s="1"/>
  <c r="DE217" i="3"/>
  <c r="DE279" i="3"/>
  <c r="CS261" i="3"/>
  <c r="CR218" i="3"/>
  <c r="CS216" i="3"/>
  <c r="DE280" i="3"/>
  <c r="CR280" i="3"/>
  <c r="CQ220" i="3"/>
  <c r="X119" i="1"/>
  <c r="AB77" i="1"/>
  <c r="AB116" i="1"/>
  <c r="CQ267" i="3"/>
  <c r="AN268" i="1"/>
  <c r="AN273" i="1"/>
  <c r="AO266" i="1"/>
  <c r="AM294" i="1"/>
  <c r="K121" i="1"/>
  <c r="M83" i="3"/>
  <c r="AO220" i="3"/>
  <c r="BP220" i="3"/>
  <c r="M79" i="3"/>
  <c r="AO267" i="3"/>
  <c r="DC265" i="3"/>
  <c r="DD263" i="3"/>
  <c r="CB265" i="3"/>
  <c r="CC263" i="3"/>
  <c r="X119" i="3"/>
  <c r="BA265" i="3"/>
  <c r="BB263" i="3"/>
  <c r="CD217" i="3"/>
  <c r="BQ218" i="3"/>
  <c r="CD279" i="3"/>
  <c r="CD280" i="3"/>
  <c r="BQ280" i="3"/>
  <c r="BR216" i="3"/>
  <c r="BR261" i="3"/>
  <c r="BC217" i="3"/>
  <c r="AP218" i="3"/>
  <c r="BC279" i="3"/>
  <c r="BC280" i="3"/>
  <c r="AP280" i="3"/>
  <c r="N140" i="3"/>
  <c r="N142" i="3"/>
  <c r="N144" i="3"/>
  <c r="AQ216" i="3"/>
  <c r="AQ261" i="3"/>
  <c r="CB255" i="3"/>
  <c r="CC253" i="3"/>
  <c r="CB278" i="3"/>
  <c r="DC265" i="1"/>
  <c r="DD263" i="1"/>
  <c r="CB265" i="1"/>
  <c r="CC263" i="1"/>
  <c r="BA265" i="1"/>
  <c r="Y119" i="1" s="1"/>
  <c r="BB263" i="1"/>
  <c r="DE217" i="1"/>
  <c r="CR218" i="1"/>
  <c r="DE279" i="1"/>
  <c r="DE280" i="1"/>
  <c r="CR280" i="1"/>
  <c r="CS216" i="1"/>
  <c r="CS261" i="1"/>
  <c r="CD217" i="1"/>
  <c r="BQ218" i="1"/>
  <c r="CD279" i="1"/>
  <c r="CD280" i="1"/>
  <c r="BQ280" i="1"/>
  <c r="BR216" i="1"/>
  <c r="BR261" i="1"/>
  <c r="BC217" i="1"/>
  <c r="AP218" i="1"/>
  <c r="BC279" i="1"/>
  <c r="BC280" i="1"/>
  <c r="AP280" i="1"/>
  <c r="N140" i="1"/>
  <c r="N142" i="1"/>
  <c r="N144" i="1"/>
  <c r="AQ216" i="1"/>
  <c r="AQ261" i="1"/>
  <c r="DC255" i="1"/>
  <c r="DC278" i="1"/>
  <c r="DD253" i="1"/>
  <c r="CB255" i="1"/>
  <c r="CB278" i="1"/>
  <c r="CC253" i="1"/>
  <c r="BA255" i="1"/>
  <c r="Y109" i="1" s="1"/>
  <c r="BA278" i="1"/>
  <c r="BB253" i="1"/>
  <c r="DC255" i="3"/>
  <c r="DD253" i="3"/>
  <c r="DC278" i="3"/>
  <c r="BA278" i="3"/>
  <c r="BA255" i="3"/>
  <c r="Y109" i="3" s="1"/>
  <c r="BB253" i="3"/>
  <c r="AN269" i="3"/>
  <c r="CQ220" i="1"/>
  <c r="BP220" i="1"/>
  <c r="AO220" i="1"/>
  <c r="M80" i="1" s="1"/>
  <c r="M83" i="1"/>
  <c r="M79" i="1"/>
  <c r="AB140" i="1" l="1"/>
  <c r="N141" i="1"/>
  <c r="AB141" i="1"/>
  <c r="O116" i="1"/>
  <c r="O77" i="1"/>
  <c r="AB140" i="3"/>
  <c r="AB141" i="3"/>
  <c r="N141" i="3"/>
  <c r="CQ266" i="1"/>
  <c r="CP273" i="1"/>
  <c r="CP268" i="1"/>
  <c r="CP269" i="1" s="1"/>
  <c r="M80" i="3"/>
  <c r="L120" i="3"/>
  <c r="BP266" i="1"/>
  <c r="BO273" i="1"/>
  <c r="BO268" i="1"/>
  <c r="BO269" i="1" s="1"/>
  <c r="BP267" i="3"/>
  <c r="CH233" i="3"/>
  <c r="CI233" i="3"/>
  <c r="CQ233" i="3"/>
  <c r="CL233" i="3"/>
  <c r="CJ233" i="3"/>
  <c r="CS282" i="3"/>
  <c r="CT215" i="3"/>
  <c r="CS217" i="3"/>
  <c r="CS279" i="3"/>
  <c r="DE218" i="3"/>
  <c r="CG233" i="3"/>
  <c r="CR233" i="3"/>
  <c r="CO233" i="3"/>
  <c r="CP233" i="3"/>
  <c r="CM233" i="3"/>
  <c r="CS276" i="3"/>
  <c r="CN233" i="3"/>
  <c r="CK233" i="3"/>
  <c r="CR219" i="3"/>
  <c r="CQ268" i="3"/>
  <c r="CQ269" i="3" s="1"/>
  <c r="CQ273" i="3"/>
  <c r="CR266" i="3"/>
  <c r="AN269" i="1"/>
  <c r="AO267" i="1"/>
  <c r="AO268" i="3"/>
  <c r="AO273" i="3"/>
  <c r="AP266" i="3"/>
  <c r="BQ219" i="3"/>
  <c r="AP219" i="3"/>
  <c r="DF263" i="3"/>
  <c r="DD264" i="3"/>
  <c r="CE263" i="3"/>
  <c r="CC264" i="3"/>
  <c r="Y119" i="3"/>
  <c r="BD263" i="3"/>
  <c r="BB264" i="3"/>
  <c r="CD218" i="3"/>
  <c r="BL233" i="3"/>
  <c r="BP233" i="3"/>
  <c r="BO233" i="3"/>
  <c r="BI233" i="3"/>
  <c r="BQ233" i="3"/>
  <c r="BM233" i="3"/>
  <c r="BK233" i="3"/>
  <c r="BG233" i="3"/>
  <c r="BH233" i="3"/>
  <c r="BN233" i="3"/>
  <c r="BF233" i="3"/>
  <c r="BJ233" i="3"/>
  <c r="BR217" i="3"/>
  <c r="BR279" i="3"/>
  <c r="BR276" i="3"/>
  <c r="BR282" i="3"/>
  <c r="BS215" i="3"/>
  <c r="BC218" i="3"/>
  <c r="AN233" i="3"/>
  <c r="AH233" i="3"/>
  <c r="AE233" i="3"/>
  <c r="AP233" i="3"/>
  <c r="AF233" i="3"/>
  <c r="AJ233" i="3"/>
  <c r="AL233" i="3"/>
  <c r="AK233" i="3"/>
  <c r="AM233" i="3"/>
  <c r="AO233" i="3"/>
  <c r="AI233" i="3"/>
  <c r="AG233" i="3"/>
  <c r="N78" i="3"/>
  <c r="AQ217" i="3"/>
  <c r="O77" i="3"/>
  <c r="AQ279" i="3"/>
  <c r="O116" i="3"/>
  <c r="AQ276" i="3"/>
  <c r="AQ282" i="3"/>
  <c r="AR215" i="3"/>
  <c r="CE253" i="3"/>
  <c r="CC254" i="3"/>
  <c r="DF263" i="1"/>
  <c r="DD264" i="1"/>
  <c r="CE263" i="1"/>
  <c r="CC264" i="1"/>
  <c r="BD263" i="1"/>
  <c r="BB264" i="1"/>
  <c r="DE218" i="1"/>
  <c r="CQ233" i="1"/>
  <c r="CH233" i="1"/>
  <c r="CK233" i="1"/>
  <c r="CP233" i="1"/>
  <c r="CJ233" i="1"/>
  <c r="CI233" i="1"/>
  <c r="CG233" i="1"/>
  <c r="CR233" i="1"/>
  <c r="CM233" i="1"/>
  <c r="CO233" i="1"/>
  <c r="CN233" i="1"/>
  <c r="CL233" i="1"/>
  <c r="CS217" i="1"/>
  <c r="CS279" i="1"/>
  <c r="CS276" i="1"/>
  <c r="CS282" i="1"/>
  <c r="CT215" i="1"/>
  <c r="CD218" i="1"/>
  <c r="BO233" i="1"/>
  <c r="BL233" i="1"/>
  <c r="BG233" i="1"/>
  <c r="BJ233" i="1"/>
  <c r="BM233" i="1"/>
  <c r="BH233" i="1"/>
  <c r="BI233" i="1"/>
  <c r="BK233" i="1"/>
  <c r="BP233" i="1"/>
  <c r="BN233" i="1"/>
  <c r="BF233" i="1"/>
  <c r="BQ233" i="1"/>
  <c r="BR217" i="1"/>
  <c r="BR279" i="1"/>
  <c r="BR276" i="1"/>
  <c r="BR282" i="1"/>
  <c r="BS215" i="1"/>
  <c r="BC218" i="1"/>
  <c r="AE233" i="1"/>
  <c r="AL233" i="1"/>
  <c r="AO233" i="1"/>
  <c r="AP233" i="1"/>
  <c r="AF233" i="1"/>
  <c r="AG233" i="1"/>
  <c r="AH233" i="1"/>
  <c r="AI233" i="1"/>
  <c r="AJ233" i="1"/>
  <c r="AK233" i="1"/>
  <c r="AM233" i="1"/>
  <c r="AN233" i="1"/>
  <c r="N78" i="1"/>
  <c r="AQ217" i="1"/>
  <c r="AQ279" i="1"/>
  <c r="AQ276" i="1"/>
  <c r="AQ282" i="1"/>
  <c r="AR215" i="1"/>
  <c r="DF253" i="1"/>
  <c r="DD254" i="1"/>
  <c r="CE253" i="1"/>
  <c r="CC254" i="1"/>
  <c r="BD253" i="1"/>
  <c r="BB254" i="1"/>
  <c r="DF253" i="3"/>
  <c r="DD254" i="3"/>
  <c r="BD253" i="3"/>
  <c r="BB254" i="3"/>
  <c r="AN294" i="3"/>
  <c r="L121" i="3"/>
  <c r="CR219" i="1"/>
  <c r="AP219" i="1"/>
  <c r="BQ219" i="1"/>
  <c r="AB78" i="1" l="1"/>
  <c r="L120" i="1"/>
  <c r="O140" i="1"/>
  <c r="CQ267" i="1"/>
  <c r="AB78" i="3"/>
  <c r="BP267" i="1"/>
  <c r="BP273" i="3"/>
  <c r="BP268" i="3"/>
  <c r="BP269" i="3" s="1"/>
  <c r="BQ266" i="3"/>
  <c r="DE266" i="3"/>
  <c r="L121" i="1"/>
  <c r="AN294" i="1"/>
  <c r="CT261" i="3"/>
  <c r="CT216" i="3"/>
  <c r="CS218" i="3"/>
  <c r="CS280" i="3"/>
  <c r="DE233" i="3"/>
  <c r="CG235" i="3"/>
  <c r="CG283" i="3" s="1"/>
  <c r="CR220" i="3"/>
  <c r="DE220" i="3"/>
  <c r="DE219" i="3"/>
  <c r="CR267" i="3"/>
  <c r="O144" i="1"/>
  <c r="O142" i="1"/>
  <c r="AP266" i="1"/>
  <c r="AO273" i="1"/>
  <c r="AO268" i="1"/>
  <c r="CD219" i="3"/>
  <c r="CD220" i="3"/>
  <c r="BQ220" i="3"/>
  <c r="AO269" i="3"/>
  <c r="BC266" i="3"/>
  <c r="BC219" i="3"/>
  <c r="BC220" i="3"/>
  <c r="N79" i="3"/>
  <c r="N83" i="3"/>
  <c r="AP220" i="3"/>
  <c r="AP267" i="3"/>
  <c r="DF264" i="3"/>
  <c r="DD265" i="3"/>
  <c r="CE264" i="3"/>
  <c r="CC265" i="3"/>
  <c r="BD264" i="3"/>
  <c r="BB265" i="3"/>
  <c r="CD233" i="3"/>
  <c r="BF235" i="3"/>
  <c r="BF283" i="3" s="1"/>
  <c r="BR218" i="3"/>
  <c r="BR280" i="3"/>
  <c r="BS216" i="3"/>
  <c r="BS261" i="3"/>
  <c r="BC233" i="3"/>
  <c r="AE235" i="3"/>
  <c r="AE283" i="3" s="1"/>
  <c r="AQ218" i="3"/>
  <c r="AQ280" i="3"/>
  <c r="O140" i="3"/>
  <c r="O142" i="3"/>
  <c r="O144" i="3"/>
  <c r="AR216" i="3"/>
  <c r="AR261" i="3"/>
  <c r="CE254" i="3"/>
  <c r="CC255" i="3"/>
  <c r="CE255" i="3" s="1"/>
  <c r="CC278" i="3"/>
  <c r="CE278" i="3" s="1"/>
  <c r="DF264" i="1"/>
  <c r="DD265" i="1"/>
  <c r="CE264" i="1"/>
  <c r="CC265" i="1"/>
  <c r="BD264" i="1"/>
  <c r="BB265" i="1"/>
  <c r="Z119" i="1" s="1"/>
  <c r="CG235" i="1"/>
  <c r="CG283" i="1" s="1"/>
  <c r="DE233" i="1"/>
  <c r="CS218" i="1"/>
  <c r="CS280" i="1"/>
  <c r="CT216" i="1"/>
  <c r="CT261" i="1"/>
  <c r="BF235" i="1"/>
  <c r="BF283" i="1" s="1"/>
  <c r="CD233" i="1"/>
  <c r="BR218" i="1"/>
  <c r="BR280" i="1"/>
  <c r="BS216" i="1"/>
  <c r="BS261" i="1"/>
  <c r="AE235" i="1"/>
  <c r="AE283" i="1" s="1"/>
  <c r="BC233" i="1"/>
  <c r="AQ218" i="1"/>
  <c r="AQ280" i="1"/>
  <c r="O141" i="1" s="1"/>
  <c r="AR216" i="1"/>
  <c r="P77" i="1" s="1"/>
  <c r="AR261" i="1"/>
  <c r="DF254" i="1"/>
  <c r="DD255" i="1"/>
  <c r="DF255" i="1" s="1"/>
  <c r="DD278" i="1"/>
  <c r="DF278" i="1" s="1"/>
  <c r="CE254" i="1"/>
  <c r="CC255" i="1"/>
  <c r="CE255" i="1" s="1"/>
  <c r="CC278" i="1"/>
  <c r="CE278" i="1" s="1"/>
  <c r="BD254" i="1"/>
  <c r="BB255" i="1"/>
  <c r="BB278" i="1"/>
  <c r="DF254" i="3"/>
  <c r="DD255" i="3"/>
  <c r="DF255" i="3" s="1"/>
  <c r="DD278" i="3"/>
  <c r="DF278" i="3" s="1"/>
  <c r="BD254" i="3"/>
  <c r="BB278" i="3"/>
  <c r="BB255" i="3"/>
  <c r="CR220" i="1"/>
  <c r="DE220" i="1"/>
  <c r="DE219" i="1"/>
  <c r="AP220" i="1"/>
  <c r="N83" i="1"/>
  <c r="N79" i="1"/>
  <c r="BC220" i="1"/>
  <c r="BC219" i="1"/>
  <c r="CD219" i="1"/>
  <c r="BQ220" i="1"/>
  <c r="CD220" i="1"/>
  <c r="O141" i="3" l="1"/>
  <c r="M120" i="3"/>
  <c r="AB80" i="3"/>
  <c r="N80" i="3"/>
  <c r="P116" i="1"/>
  <c r="N80" i="1"/>
  <c r="CR266" i="1"/>
  <c r="CQ273" i="1"/>
  <c r="CQ268" i="1"/>
  <c r="CQ269" i="1" s="1"/>
  <c r="BQ266" i="1"/>
  <c r="BP273" i="1"/>
  <c r="BP268" i="1"/>
  <c r="BP269" i="1" s="1"/>
  <c r="CD266" i="3"/>
  <c r="BQ267" i="3"/>
  <c r="CS219" i="3"/>
  <c r="CT276" i="3"/>
  <c r="CT282" i="3"/>
  <c r="CU215" i="3"/>
  <c r="CT217" i="3"/>
  <c r="CT279" i="3"/>
  <c r="CG236" i="3"/>
  <c r="CG259" i="3"/>
  <c r="CG260" i="3" s="1"/>
  <c r="CG262" i="3" s="1"/>
  <c r="CG270" i="3" s="1"/>
  <c r="CH234" i="3"/>
  <c r="CH235" i="3" s="1"/>
  <c r="CH283" i="3" s="1"/>
  <c r="O78" i="1"/>
  <c r="AB80" i="1"/>
  <c r="CS266" i="3"/>
  <c r="CR273" i="3"/>
  <c r="DE273" i="3" s="1"/>
  <c r="CR268" i="3"/>
  <c r="DE267" i="3"/>
  <c r="BD255" i="1"/>
  <c r="AC109" i="1" s="1"/>
  <c r="Z109" i="1"/>
  <c r="BC266" i="1"/>
  <c r="AP267" i="1"/>
  <c r="AO269" i="1"/>
  <c r="U8" i="3"/>
  <c r="AB79" i="3"/>
  <c r="AB83" i="3"/>
  <c r="AO294" i="3"/>
  <c r="M121" i="3"/>
  <c r="BC267" i="3"/>
  <c r="AP268" i="3"/>
  <c r="AP273" i="3"/>
  <c r="BC273" i="3" s="1"/>
  <c r="AQ266" i="3"/>
  <c r="DF265" i="3"/>
  <c r="CE265" i="3"/>
  <c r="Z119" i="3"/>
  <c r="BD265" i="3"/>
  <c r="BG234" i="3"/>
  <c r="BG235" i="3" s="1"/>
  <c r="BG283" i="3" s="1"/>
  <c r="BF236" i="3"/>
  <c r="BF259" i="3"/>
  <c r="BF260" i="3" s="1"/>
  <c r="BF262" i="3" s="1"/>
  <c r="BF270" i="3" s="1"/>
  <c r="BS217" i="3"/>
  <c r="BS279" i="3"/>
  <c r="BS276" i="3"/>
  <c r="BS282" i="3"/>
  <c r="BT215" i="3"/>
  <c r="AE259" i="3"/>
  <c r="AF234" i="3"/>
  <c r="AF235" i="3" s="1"/>
  <c r="AF283" i="3" s="1"/>
  <c r="AE236" i="3"/>
  <c r="O78" i="3"/>
  <c r="AR217" i="3"/>
  <c r="P77" i="3"/>
  <c r="AR279" i="3"/>
  <c r="P116" i="3"/>
  <c r="AR276" i="3"/>
  <c r="AR282" i="3"/>
  <c r="AS215" i="3"/>
  <c r="DF265" i="1"/>
  <c r="CE265" i="1"/>
  <c r="BD265" i="1"/>
  <c r="AC119" i="1" s="1"/>
  <c r="CG236" i="1"/>
  <c r="CG259" i="1"/>
  <c r="CG260" i="1" s="1"/>
  <c r="CG262" i="1" s="1"/>
  <c r="CG270" i="1" s="1"/>
  <c r="CH234" i="1"/>
  <c r="CH235" i="1" s="1"/>
  <c r="CH283" i="1" s="1"/>
  <c r="CT217" i="1"/>
  <c r="CT279" i="1"/>
  <c r="CT276" i="1"/>
  <c r="CT282" i="1"/>
  <c r="CU215" i="1"/>
  <c r="BF236" i="1"/>
  <c r="BF259" i="1"/>
  <c r="BF260" i="1" s="1"/>
  <c r="BF262" i="1" s="1"/>
  <c r="BF270" i="1" s="1"/>
  <c r="BG234" i="1"/>
  <c r="BG235" i="1" s="1"/>
  <c r="BG283" i="1" s="1"/>
  <c r="BS217" i="1"/>
  <c r="BS279" i="1"/>
  <c r="BS276" i="1"/>
  <c r="BS282" i="1"/>
  <c r="BT215" i="1"/>
  <c r="AE236" i="1"/>
  <c r="AE259" i="1"/>
  <c r="AF234" i="1"/>
  <c r="AF235" i="1" s="1"/>
  <c r="AF283" i="1" s="1"/>
  <c r="AR217" i="1"/>
  <c r="AR279" i="1"/>
  <c r="AR276" i="1"/>
  <c r="AR282" i="1"/>
  <c r="AS215" i="1"/>
  <c r="BD278" i="1"/>
  <c r="C160" i="1"/>
  <c r="W160" i="1" s="1"/>
  <c r="BD278" i="3"/>
  <c r="C160" i="3"/>
  <c r="W160" i="3" s="1"/>
  <c r="Z109" i="3"/>
  <c r="BD255" i="3"/>
  <c r="AC109" i="3" s="1"/>
  <c r="U8" i="1"/>
  <c r="AB79" i="1"/>
  <c r="AB83" i="1"/>
  <c r="CS219" i="1"/>
  <c r="BR219" i="1"/>
  <c r="AQ219" i="1"/>
  <c r="AQ219" i="3"/>
  <c r="BR219" i="3"/>
  <c r="AC119" i="3" l="1"/>
  <c r="M120" i="1"/>
  <c r="DE266" i="1"/>
  <c r="CR267" i="1"/>
  <c r="CD266" i="1"/>
  <c r="BQ267" i="1"/>
  <c r="BQ268" i="3"/>
  <c r="BQ273" i="3"/>
  <c r="CD273" i="3" s="1"/>
  <c r="BR266" i="3"/>
  <c r="CD267" i="3"/>
  <c r="CS220" i="3"/>
  <c r="CU216" i="3"/>
  <c r="CT218" i="3"/>
  <c r="CH236" i="3"/>
  <c r="CH237" i="3" s="1"/>
  <c r="CH259" i="3"/>
  <c r="CH260" i="3" s="1"/>
  <c r="CH262" i="3" s="1"/>
  <c r="CH270" i="3" s="1"/>
  <c r="CU261" i="3"/>
  <c r="CT280" i="3"/>
  <c r="CG237" i="3"/>
  <c r="CI234" i="3"/>
  <c r="CI235" i="3" s="1"/>
  <c r="CI283" i="3" s="1"/>
  <c r="P140" i="1"/>
  <c r="CS267" i="3"/>
  <c r="CR269" i="3"/>
  <c r="DE268" i="3"/>
  <c r="P144" i="1"/>
  <c r="P142" i="1"/>
  <c r="O83" i="1"/>
  <c r="O79" i="1"/>
  <c r="M121" i="1"/>
  <c r="AO294" i="1"/>
  <c r="AP268" i="1"/>
  <c r="BC267" i="1"/>
  <c r="AP273" i="1"/>
  <c r="BC273" i="1" s="1"/>
  <c r="AQ266" i="1"/>
  <c r="AP269" i="3"/>
  <c r="BC268" i="3"/>
  <c r="BG236" i="3"/>
  <c r="BG237" i="3" s="1"/>
  <c r="BG259" i="3"/>
  <c r="BG260" i="3" s="1"/>
  <c r="BG262" i="3" s="1"/>
  <c r="BG270" i="3" s="1"/>
  <c r="BH234" i="3"/>
  <c r="BH235" i="3" s="1"/>
  <c r="BH283" i="3" s="1"/>
  <c r="BF237" i="3"/>
  <c r="BS218" i="3"/>
  <c r="BS280" i="3"/>
  <c r="BT216" i="3"/>
  <c r="BT261" i="3"/>
  <c r="AE260" i="3"/>
  <c r="C114" i="3"/>
  <c r="AF236" i="3"/>
  <c r="AF259" i="3"/>
  <c r="AG234" i="3"/>
  <c r="AG235" i="3" s="1"/>
  <c r="AG283" i="3" s="1"/>
  <c r="AE237" i="3"/>
  <c r="C134" i="3"/>
  <c r="C89" i="3"/>
  <c r="AR218" i="3"/>
  <c r="AR280" i="3"/>
  <c r="P140" i="3"/>
  <c r="P142" i="3"/>
  <c r="P144" i="3"/>
  <c r="AS216" i="3"/>
  <c r="AS261" i="3"/>
  <c r="CG237" i="1"/>
  <c r="CH236" i="1"/>
  <c r="CH237" i="1" s="1"/>
  <c r="CH259" i="1"/>
  <c r="CH260" i="1" s="1"/>
  <c r="CH262" i="1" s="1"/>
  <c r="CH270" i="1" s="1"/>
  <c r="CI234" i="1"/>
  <c r="CI235" i="1" s="1"/>
  <c r="CI283" i="1" s="1"/>
  <c r="CT218" i="1"/>
  <c r="CT280" i="1"/>
  <c r="CU216" i="1"/>
  <c r="CU261" i="1"/>
  <c r="BF237" i="1"/>
  <c r="BG236" i="1"/>
  <c r="BG237" i="1" s="1"/>
  <c r="BG259" i="1"/>
  <c r="BG260" i="1" s="1"/>
  <c r="BG262" i="1" s="1"/>
  <c r="BG270" i="1" s="1"/>
  <c r="BH234" i="1"/>
  <c r="BH235" i="1" s="1"/>
  <c r="BH283" i="1" s="1"/>
  <c r="BS218" i="1"/>
  <c r="BS280" i="1"/>
  <c r="BT216" i="1"/>
  <c r="BT261" i="1"/>
  <c r="AE237" i="1"/>
  <c r="C134" i="1"/>
  <c r="C89" i="1"/>
  <c r="AE260" i="1"/>
  <c r="C114" i="1"/>
  <c r="AF236" i="1"/>
  <c r="AF259" i="1"/>
  <c r="AG234" i="1"/>
  <c r="AG235" i="1" s="1"/>
  <c r="AG283" i="1" s="1"/>
  <c r="AR218" i="1"/>
  <c r="AR280" i="1"/>
  <c r="AS216" i="1"/>
  <c r="AS261" i="1"/>
  <c r="CS220" i="1"/>
  <c r="BR220" i="1"/>
  <c r="AQ220" i="1"/>
  <c r="O80" i="1" s="1"/>
  <c r="AQ267" i="3"/>
  <c r="AQ220" i="3"/>
  <c r="O83" i="3"/>
  <c r="O79" i="3"/>
  <c r="BR220" i="3"/>
  <c r="Q77" i="1" l="1"/>
  <c r="P78" i="1"/>
  <c r="P141" i="1"/>
  <c r="N120" i="3"/>
  <c r="P141" i="3"/>
  <c r="O80" i="3"/>
  <c r="DE267" i="1"/>
  <c r="CR268" i="1"/>
  <c r="CR273" i="1"/>
  <c r="DE273" i="1" s="1"/>
  <c r="CS266" i="1"/>
  <c r="CD267" i="1"/>
  <c r="BQ268" i="1"/>
  <c r="BQ273" i="1"/>
  <c r="CD273" i="1" s="1"/>
  <c r="BR266" i="1"/>
  <c r="BQ269" i="3"/>
  <c r="CD268" i="3"/>
  <c r="AB120" i="3" s="1"/>
  <c r="BR267" i="3"/>
  <c r="CU276" i="3"/>
  <c r="CU282" i="3"/>
  <c r="CV215" i="3"/>
  <c r="CU217" i="3"/>
  <c r="CU279" i="3"/>
  <c r="CG238" i="3"/>
  <c r="CG277" i="3"/>
  <c r="CH238" i="3"/>
  <c r="CH277" i="3"/>
  <c r="CI236" i="3"/>
  <c r="CI237" i="3" s="1"/>
  <c r="CI259" i="3"/>
  <c r="CI260" i="3" s="1"/>
  <c r="CI262" i="3" s="1"/>
  <c r="CI270" i="3" s="1"/>
  <c r="CJ234" i="3"/>
  <c r="CJ235" i="3" s="1"/>
  <c r="CJ283" i="3" s="1"/>
  <c r="CT219" i="3"/>
  <c r="Q116" i="1"/>
  <c r="CS268" i="3"/>
  <c r="CS269" i="3" s="1"/>
  <c r="CS273" i="3"/>
  <c r="CT266" i="3"/>
  <c r="E288" i="3"/>
  <c r="DE269" i="3"/>
  <c r="AP269" i="1"/>
  <c r="BC268" i="1"/>
  <c r="AQ267" i="1"/>
  <c r="C288" i="3"/>
  <c r="BC269" i="3"/>
  <c r="AR219" i="3"/>
  <c r="BG238" i="3"/>
  <c r="BG277" i="3"/>
  <c r="BH236" i="3"/>
  <c r="BH259" i="3"/>
  <c r="BH260" i="3" s="1"/>
  <c r="BH262" i="3" s="1"/>
  <c r="BH270" i="3" s="1"/>
  <c r="BI234" i="3"/>
  <c r="BI235" i="3" s="1"/>
  <c r="BI283" i="3" s="1"/>
  <c r="BF238" i="3"/>
  <c r="BF277" i="3"/>
  <c r="BT217" i="3"/>
  <c r="BT279" i="3"/>
  <c r="BT276" i="3"/>
  <c r="BT282" i="3"/>
  <c r="BU215" i="3"/>
  <c r="AE262" i="3"/>
  <c r="C115" i="3"/>
  <c r="AF237" i="3"/>
  <c r="D134" i="3"/>
  <c r="D89" i="3"/>
  <c r="AF260" i="3"/>
  <c r="D114" i="3"/>
  <c r="AG236" i="3"/>
  <c r="AH234" i="3"/>
  <c r="AH235" i="3" s="1"/>
  <c r="AH283" i="3" s="1"/>
  <c r="AG259" i="3"/>
  <c r="AE238" i="3"/>
  <c r="AE277" i="3"/>
  <c r="C135" i="3"/>
  <c r="P78" i="3"/>
  <c r="AS217" i="3"/>
  <c r="Q77" i="3"/>
  <c r="AS279" i="3"/>
  <c r="Q116" i="3"/>
  <c r="AS276" i="3"/>
  <c r="AS282" i="3"/>
  <c r="AT215" i="3"/>
  <c r="CG238" i="1"/>
  <c r="CG277" i="1"/>
  <c r="CH238" i="1"/>
  <c r="CH277" i="1"/>
  <c r="CI236" i="1"/>
  <c r="CI237" i="1" s="1"/>
  <c r="CI259" i="1"/>
  <c r="CI260" i="1" s="1"/>
  <c r="CI262" i="1" s="1"/>
  <c r="CI270" i="1" s="1"/>
  <c r="CJ234" i="1"/>
  <c r="CJ235" i="1" s="1"/>
  <c r="CJ283" i="1" s="1"/>
  <c r="CU217" i="1"/>
  <c r="CU279" i="1"/>
  <c r="CU276" i="1"/>
  <c r="CU282" i="1"/>
  <c r="CV215" i="1"/>
  <c r="BF238" i="1"/>
  <c r="BF277" i="1"/>
  <c r="BG238" i="1"/>
  <c r="BG277" i="1"/>
  <c r="BH236" i="1"/>
  <c r="BH237" i="1" s="1"/>
  <c r="BH259" i="1"/>
  <c r="BH260" i="1" s="1"/>
  <c r="BH262" i="1" s="1"/>
  <c r="BH270" i="1" s="1"/>
  <c r="BI234" i="1"/>
  <c r="BI235" i="1" s="1"/>
  <c r="BI283" i="1" s="1"/>
  <c r="BT217" i="1"/>
  <c r="BT279" i="1"/>
  <c r="BT276" i="1"/>
  <c r="BT282" i="1"/>
  <c r="BU215" i="1"/>
  <c r="AE238" i="1"/>
  <c r="AE277" i="1"/>
  <c r="C135" i="1"/>
  <c r="C115" i="1"/>
  <c r="AE262" i="1"/>
  <c r="AF237" i="1"/>
  <c r="D134" i="1"/>
  <c r="D89" i="1"/>
  <c r="AF260" i="1"/>
  <c r="D114" i="1"/>
  <c r="AG236" i="1"/>
  <c r="AG259" i="1"/>
  <c r="AH234" i="1"/>
  <c r="AH235" i="1" s="1"/>
  <c r="AH283" i="1" s="1"/>
  <c r="AS217" i="1"/>
  <c r="AS279" i="1"/>
  <c r="AS276" i="1"/>
  <c r="AS282" i="1"/>
  <c r="AT215" i="1"/>
  <c r="AR266" i="3"/>
  <c r="AQ273" i="3"/>
  <c r="AQ268" i="3"/>
  <c r="BS219" i="3"/>
  <c r="CT219" i="1"/>
  <c r="BS219" i="1"/>
  <c r="AR219" i="1"/>
  <c r="AP294" i="3" l="1"/>
  <c r="N121" i="3"/>
  <c r="N120" i="1"/>
  <c r="DE268" i="1"/>
  <c r="CR269" i="1"/>
  <c r="CS267" i="1"/>
  <c r="BQ269" i="1"/>
  <c r="CD268" i="1"/>
  <c r="BR267" i="1"/>
  <c r="D288" i="3"/>
  <c r="CD269" i="3"/>
  <c r="AB121" i="3" s="1"/>
  <c r="BS266" i="3"/>
  <c r="BR273" i="3"/>
  <c r="BR268" i="3"/>
  <c r="BR269" i="3" s="1"/>
  <c r="CV261" i="3"/>
  <c r="CV216" i="3"/>
  <c r="CU218" i="3"/>
  <c r="CU280" i="3"/>
  <c r="CG281" i="3"/>
  <c r="CG246" i="3"/>
  <c r="CH246" i="3"/>
  <c r="CH281" i="3"/>
  <c r="CI238" i="3"/>
  <c r="CI277" i="3"/>
  <c r="CJ236" i="3"/>
  <c r="CJ237" i="3" s="1"/>
  <c r="CJ259" i="3"/>
  <c r="CJ260" i="3" s="1"/>
  <c r="CJ262" i="3" s="1"/>
  <c r="CJ270" i="3" s="1"/>
  <c r="CK234" i="3"/>
  <c r="CK235" i="3" s="1"/>
  <c r="CK283" i="3" s="1"/>
  <c r="CT220" i="3"/>
  <c r="Q140" i="1"/>
  <c r="CT267" i="3"/>
  <c r="Q144" i="1"/>
  <c r="Q142" i="1"/>
  <c r="P83" i="1"/>
  <c r="P79" i="1"/>
  <c r="BC269" i="1"/>
  <c r="AR266" i="1"/>
  <c r="AQ273" i="1"/>
  <c r="AQ268" i="1"/>
  <c r="C288" i="1"/>
  <c r="P79" i="3"/>
  <c r="P83" i="3"/>
  <c r="AR220" i="3"/>
  <c r="AR267" i="3"/>
  <c r="BG246" i="3"/>
  <c r="BG281" i="3"/>
  <c r="BH237" i="3"/>
  <c r="BI236" i="3"/>
  <c r="BI237" i="3" s="1"/>
  <c r="BI259" i="3"/>
  <c r="BI260" i="3" s="1"/>
  <c r="BI262" i="3" s="1"/>
  <c r="BI270" i="3" s="1"/>
  <c r="BJ234" i="3"/>
  <c r="BJ235" i="3" s="1"/>
  <c r="BJ283" i="3" s="1"/>
  <c r="BF281" i="3"/>
  <c r="BF246" i="3"/>
  <c r="BT218" i="3"/>
  <c r="BT280" i="3"/>
  <c r="BU216" i="3"/>
  <c r="BU261" i="3"/>
  <c r="C117" i="3"/>
  <c r="AE270" i="3"/>
  <c r="C122" i="3" s="1"/>
  <c r="AF238" i="3"/>
  <c r="AF277" i="3"/>
  <c r="D135" i="3"/>
  <c r="AF262" i="3"/>
  <c r="D115" i="3"/>
  <c r="AG237" i="3"/>
  <c r="E134" i="3"/>
  <c r="E89" i="3"/>
  <c r="AH236" i="3"/>
  <c r="AH259" i="3"/>
  <c r="AI234" i="3"/>
  <c r="AI235" i="3" s="1"/>
  <c r="AI283" i="3" s="1"/>
  <c r="AG260" i="3"/>
  <c r="E114" i="3"/>
  <c r="AE281" i="3"/>
  <c r="AE246" i="3"/>
  <c r="C90" i="3"/>
  <c r="AS218" i="3"/>
  <c r="AS280" i="3"/>
  <c r="Q140" i="3"/>
  <c r="Q142" i="3"/>
  <c r="Q144" i="3"/>
  <c r="AT216" i="3"/>
  <c r="AT261" i="3"/>
  <c r="CG281" i="1"/>
  <c r="CG246" i="1"/>
  <c r="CH281" i="1"/>
  <c r="CH246" i="1"/>
  <c r="CI238" i="1"/>
  <c r="CI277" i="1"/>
  <c r="CJ236" i="1"/>
  <c r="CJ237" i="1" s="1"/>
  <c r="CJ259" i="1"/>
  <c r="CJ260" i="1" s="1"/>
  <c r="CJ262" i="1" s="1"/>
  <c r="CJ270" i="1" s="1"/>
  <c r="CK234" i="1"/>
  <c r="CK235" i="1" s="1"/>
  <c r="CK283" i="1" s="1"/>
  <c r="CU218" i="1"/>
  <c r="CU280" i="1"/>
  <c r="CV216" i="1"/>
  <c r="CV261" i="1"/>
  <c r="BF281" i="1"/>
  <c r="BF246" i="1"/>
  <c r="BG281" i="1"/>
  <c r="BG246" i="1"/>
  <c r="BH238" i="1"/>
  <c r="BH277" i="1"/>
  <c r="BI236" i="1"/>
  <c r="BI237" i="1" s="1"/>
  <c r="BI259" i="1"/>
  <c r="BI260" i="1" s="1"/>
  <c r="BI262" i="1" s="1"/>
  <c r="BI270" i="1" s="1"/>
  <c r="BJ234" i="1"/>
  <c r="BJ235" i="1" s="1"/>
  <c r="BJ283" i="1" s="1"/>
  <c r="BT218" i="1"/>
  <c r="BT280" i="1"/>
  <c r="BU216" i="1"/>
  <c r="BU261" i="1"/>
  <c r="AE281" i="1"/>
  <c r="AE246" i="1"/>
  <c r="C90" i="1"/>
  <c r="AE270" i="1"/>
  <c r="C122" i="1" s="1"/>
  <c r="C117" i="1"/>
  <c r="AF238" i="1"/>
  <c r="D135" i="1"/>
  <c r="AF277" i="1"/>
  <c r="D115" i="1"/>
  <c r="AF262" i="1"/>
  <c r="AG237" i="1"/>
  <c r="E89" i="1"/>
  <c r="E134" i="1"/>
  <c r="AG260" i="1"/>
  <c r="E114" i="1"/>
  <c r="AH236" i="1"/>
  <c r="AH259" i="1"/>
  <c r="AI234" i="1"/>
  <c r="AI235" i="1" s="1"/>
  <c r="AI283" i="1" s="1"/>
  <c r="AS218" i="1"/>
  <c r="AS280" i="1"/>
  <c r="AT216" i="1"/>
  <c r="AT261" i="1"/>
  <c r="AQ269" i="3"/>
  <c r="BS220" i="3"/>
  <c r="CT220" i="1"/>
  <c r="BS220" i="1"/>
  <c r="AR220" i="1"/>
  <c r="P80" i="1" s="1"/>
  <c r="R116" i="1" l="1"/>
  <c r="O121" i="3"/>
  <c r="AB120" i="1"/>
  <c r="R77" i="1"/>
  <c r="Q141" i="1"/>
  <c r="Q78" i="1"/>
  <c r="N121" i="1"/>
  <c r="AP294" i="1"/>
  <c r="P80" i="3"/>
  <c r="C143" i="3"/>
  <c r="Q141" i="3"/>
  <c r="O120" i="3"/>
  <c r="C143" i="1"/>
  <c r="E288" i="1"/>
  <c r="DE269" i="1"/>
  <c r="CT266" i="1"/>
  <c r="CS273" i="1"/>
  <c r="CS268" i="1"/>
  <c r="CS269" i="1" s="1"/>
  <c r="CD269" i="1"/>
  <c r="D288" i="1"/>
  <c r="BS266" i="1"/>
  <c r="BR273" i="1"/>
  <c r="BR268" i="1"/>
  <c r="BR269" i="1" s="1"/>
  <c r="BS267" i="3"/>
  <c r="CV276" i="3"/>
  <c r="CV282" i="3"/>
  <c r="CW215" i="3"/>
  <c r="CV217" i="3"/>
  <c r="CV279" i="3"/>
  <c r="CG248" i="3"/>
  <c r="CI281" i="3"/>
  <c r="CI246" i="3"/>
  <c r="CJ238" i="3"/>
  <c r="CJ277" i="3"/>
  <c r="CK259" i="3"/>
  <c r="CK260" i="3" s="1"/>
  <c r="CK262" i="3" s="1"/>
  <c r="CK270" i="3" s="1"/>
  <c r="CK236" i="3"/>
  <c r="CL234" i="3"/>
  <c r="CL235" i="3" s="1"/>
  <c r="CL283" i="3" s="1"/>
  <c r="CU219" i="3"/>
  <c r="CU266" i="3"/>
  <c r="CT273" i="3"/>
  <c r="CT268" i="3"/>
  <c r="CT269" i="3" s="1"/>
  <c r="AQ269" i="1"/>
  <c r="AR267" i="1"/>
  <c r="AR268" i="3"/>
  <c r="AR273" i="3"/>
  <c r="AS266" i="3"/>
  <c r="BH238" i="3"/>
  <c r="BH277" i="3"/>
  <c r="BI238" i="3"/>
  <c r="BI277" i="3"/>
  <c r="BK234" i="3"/>
  <c r="BK235" i="3" s="1"/>
  <c r="BK283" i="3" s="1"/>
  <c r="BJ236" i="3"/>
  <c r="BJ237" i="3" s="1"/>
  <c r="BJ259" i="3"/>
  <c r="BJ260" i="3" s="1"/>
  <c r="BJ262" i="3" s="1"/>
  <c r="BJ270" i="3" s="1"/>
  <c r="BF248" i="3"/>
  <c r="BU217" i="3"/>
  <c r="BU279" i="3"/>
  <c r="BU276" i="3"/>
  <c r="BU282" i="3"/>
  <c r="BV215" i="3"/>
  <c r="AF246" i="3"/>
  <c r="D100" i="3" s="1"/>
  <c r="AF281" i="3"/>
  <c r="D143" i="3" s="1"/>
  <c r="D90" i="3"/>
  <c r="D117" i="3"/>
  <c r="AF270" i="3"/>
  <c r="D122" i="3" s="1"/>
  <c r="AG238" i="3"/>
  <c r="AG277" i="3"/>
  <c r="E135" i="3"/>
  <c r="AH237" i="3"/>
  <c r="F134" i="3"/>
  <c r="F89" i="3"/>
  <c r="AH260" i="3"/>
  <c r="F114" i="3"/>
  <c r="AJ234" i="3"/>
  <c r="AJ235" i="3" s="1"/>
  <c r="AJ283" i="3" s="1"/>
  <c r="AI236" i="3"/>
  <c r="AI259" i="3"/>
  <c r="AG262" i="3"/>
  <c r="E115" i="3"/>
  <c r="AE248" i="3"/>
  <c r="C100" i="3"/>
  <c r="Q78" i="3"/>
  <c r="AT217" i="3"/>
  <c r="R77" i="3"/>
  <c r="AT279" i="3"/>
  <c r="R116" i="3"/>
  <c r="AT276" i="3"/>
  <c r="AT282" i="3"/>
  <c r="AU215" i="3"/>
  <c r="CG248" i="1"/>
  <c r="CI281" i="1"/>
  <c r="CI246" i="1"/>
  <c r="CJ238" i="1"/>
  <c r="CJ277" i="1"/>
  <c r="CK236" i="1"/>
  <c r="CK237" i="1" s="1"/>
  <c r="CK259" i="1"/>
  <c r="CK260" i="1" s="1"/>
  <c r="CK262" i="1" s="1"/>
  <c r="CK270" i="1" s="1"/>
  <c r="CL234" i="1"/>
  <c r="CL235" i="1" s="1"/>
  <c r="CL283" i="1" s="1"/>
  <c r="CV217" i="1"/>
  <c r="CV279" i="1"/>
  <c r="CV276" i="1"/>
  <c r="CV282" i="1"/>
  <c r="CW215" i="1"/>
  <c r="BF248" i="1"/>
  <c r="BH281" i="1"/>
  <c r="BH246" i="1"/>
  <c r="BI238" i="1"/>
  <c r="BI277" i="1"/>
  <c r="BJ236" i="1"/>
  <c r="BJ237" i="1" s="1"/>
  <c r="BJ259" i="1"/>
  <c r="BJ260" i="1" s="1"/>
  <c r="BJ262" i="1" s="1"/>
  <c r="BJ270" i="1" s="1"/>
  <c r="BK234" i="1"/>
  <c r="BK235" i="1" s="1"/>
  <c r="BK283" i="1" s="1"/>
  <c r="BU217" i="1"/>
  <c r="BU279" i="1"/>
  <c r="BU276" i="1"/>
  <c r="BU282" i="1"/>
  <c r="BV215" i="1"/>
  <c r="AE248" i="1"/>
  <c r="C100" i="1"/>
  <c r="AF281" i="1"/>
  <c r="D143" i="1" s="1"/>
  <c r="AF246" i="1"/>
  <c r="D100" i="1" s="1"/>
  <c r="D90" i="1"/>
  <c r="AF270" i="1"/>
  <c r="D122" i="1" s="1"/>
  <c r="D117" i="1"/>
  <c r="AG238" i="1"/>
  <c r="E135" i="1"/>
  <c r="AG277" i="1"/>
  <c r="E115" i="1"/>
  <c r="AG262" i="1"/>
  <c r="AH237" i="1"/>
  <c r="F134" i="1"/>
  <c r="F89" i="1"/>
  <c r="AH260" i="1"/>
  <c r="F114" i="1"/>
  <c r="AI236" i="1"/>
  <c r="AI259" i="1"/>
  <c r="AJ234" i="1"/>
  <c r="AJ235" i="1" s="1"/>
  <c r="AJ283" i="1" s="1"/>
  <c r="AT217" i="1"/>
  <c r="AT279" i="1"/>
  <c r="AT276" i="1"/>
  <c r="AT282" i="1"/>
  <c r="AU215" i="1"/>
  <c r="AS219" i="3"/>
  <c r="CU219" i="1"/>
  <c r="BT219" i="1"/>
  <c r="AS219" i="1"/>
  <c r="BT219" i="3"/>
  <c r="AB121" i="1" l="1"/>
  <c r="O121" i="1"/>
  <c r="O120" i="1"/>
  <c r="CT267" i="1"/>
  <c r="BS267" i="1"/>
  <c r="BS268" i="3"/>
  <c r="BS269" i="3" s="1"/>
  <c r="BS273" i="3"/>
  <c r="BT266" i="3"/>
  <c r="CW261" i="3"/>
  <c r="CW216" i="3"/>
  <c r="CV218" i="3"/>
  <c r="CV280" i="3"/>
  <c r="CH247" i="3"/>
  <c r="CH248" i="3" s="1"/>
  <c r="CG249" i="3"/>
  <c r="CJ246" i="3"/>
  <c r="CJ281" i="3"/>
  <c r="CK237" i="3"/>
  <c r="CL236" i="3"/>
  <c r="CL237" i="3" s="1"/>
  <c r="CL259" i="3"/>
  <c r="CL260" i="3" s="1"/>
  <c r="CL262" i="3" s="1"/>
  <c r="CL270" i="3" s="1"/>
  <c r="CM234" i="3"/>
  <c r="CM235" i="3" s="1"/>
  <c r="CM283" i="3" s="1"/>
  <c r="CU220" i="3"/>
  <c r="CU267" i="3"/>
  <c r="AR268" i="1"/>
  <c r="AR273" i="1"/>
  <c r="AS266" i="1"/>
  <c r="R140" i="1"/>
  <c r="R144" i="1"/>
  <c r="R142" i="1"/>
  <c r="Q83" i="1"/>
  <c r="Q79" i="1"/>
  <c r="AR269" i="3"/>
  <c r="P121" i="3" s="1"/>
  <c r="P120" i="3"/>
  <c r="BH246" i="3"/>
  <c r="BH281" i="3"/>
  <c r="BI246" i="3"/>
  <c r="BI281" i="3"/>
  <c r="BK259" i="3"/>
  <c r="BK260" i="3" s="1"/>
  <c r="BK262" i="3" s="1"/>
  <c r="BK270" i="3" s="1"/>
  <c r="BL234" i="3"/>
  <c r="BL235" i="3" s="1"/>
  <c r="BL283" i="3" s="1"/>
  <c r="BK236" i="3"/>
  <c r="BK237" i="3" s="1"/>
  <c r="BJ238" i="3"/>
  <c r="BJ277" i="3"/>
  <c r="BG247" i="3"/>
  <c r="BG248" i="3" s="1"/>
  <c r="BF249" i="3"/>
  <c r="BU218" i="3"/>
  <c r="BU280" i="3"/>
  <c r="BV216" i="3"/>
  <c r="BV261" i="3"/>
  <c r="AG246" i="3"/>
  <c r="AG281" i="3"/>
  <c r="E90" i="3"/>
  <c r="AH238" i="3"/>
  <c r="F135" i="3"/>
  <c r="AH277" i="3"/>
  <c r="AH262" i="3"/>
  <c r="F115" i="3"/>
  <c r="AJ259" i="3"/>
  <c r="AK234" i="3"/>
  <c r="AK235" i="3" s="1"/>
  <c r="AK283" i="3" s="1"/>
  <c r="AJ236" i="3"/>
  <c r="AI237" i="3"/>
  <c r="G134" i="3"/>
  <c r="G89" i="3"/>
  <c r="AI260" i="3"/>
  <c r="G114" i="3"/>
  <c r="E117" i="3"/>
  <c r="AG270" i="3"/>
  <c r="E122" i="3" s="1"/>
  <c r="C102" i="3"/>
  <c r="AE291" i="3"/>
  <c r="AF247" i="3"/>
  <c r="AE249" i="3"/>
  <c r="AT218" i="3"/>
  <c r="AT280" i="3"/>
  <c r="R140" i="3"/>
  <c r="R142" i="3"/>
  <c r="R144" i="3"/>
  <c r="AU216" i="3"/>
  <c r="AU261" i="3"/>
  <c r="CH247" i="1"/>
  <c r="CH248" i="1" s="1"/>
  <c r="CG249" i="1"/>
  <c r="CJ281" i="1"/>
  <c r="CJ246" i="1"/>
  <c r="CK238" i="1"/>
  <c r="CK277" i="1"/>
  <c r="CL236" i="1"/>
  <c r="CL259" i="1"/>
  <c r="CL260" i="1" s="1"/>
  <c r="CL262" i="1" s="1"/>
  <c r="CL270" i="1" s="1"/>
  <c r="CM234" i="1"/>
  <c r="CM235" i="1" s="1"/>
  <c r="CM283" i="1" s="1"/>
  <c r="CV218" i="1"/>
  <c r="CV280" i="1"/>
  <c r="CW216" i="1"/>
  <c r="CW261" i="1"/>
  <c r="BG247" i="1"/>
  <c r="BG248" i="1" s="1"/>
  <c r="BF249" i="1"/>
  <c r="BI281" i="1"/>
  <c r="BI246" i="1"/>
  <c r="BJ238" i="1"/>
  <c r="BJ277" i="1"/>
  <c r="BK236" i="1"/>
  <c r="BK237" i="1" s="1"/>
  <c r="BK259" i="1"/>
  <c r="BK260" i="1" s="1"/>
  <c r="BK262" i="1" s="1"/>
  <c r="BK270" i="1" s="1"/>
  <c r="BL234" i="1"/>
  <c r="BL235" i="1" s="1"/>
  <c r="BL283" i="1" s="1"/>
  <c r="BU218" i="1"/>
  <c r="BU280" i="1"/>
  <c r="BV216" i="1"/>
  <c r="BV261" i="1"/>
  <c r="AE291" i="1"/>
  <c r="AF247" i="1"/>
  <c r="C102" i="1"/>
  <c r="AE249" i="1"/>
  <c r="AG281" i="1"/>
  <c r="E143" i="1" s="1"/>
  <c r="AG246" i="1"/>
  <c r="E100" i="1" s="1"/>
  <c r="E90" i="1"/>
  <c r="AG270" i="1"/>
  <c r="E122" i="1" s="1"/>
  <c r="E117" i="1"/>
  <c r="AH238" i="1"/>
  <c r="F135" i="1"/>
  <c r="AH277" i="1"/>
  <c r="F115" i="1"/>
  <c r="AH262" i="1"/>
  <c r="AI237" i="1"/>
  <c r="G134" i="1"/>
  <c r="G89" i="1"/>
  <c r="AI260" i="1"/>
  <c r="G114" i="1"/>
  <c r="AJ236" i="1"/>
  <c r="AJ259" i="1"/>
  <c r="AK234" i="1"/>
  <c r="AK235" i="1" s="1"/>
  <c r="AK283" i="1" s="1"/>
  <c r="AT218" i="1"/>
  <c r="AT280" i="1"/>
  <c r="AU216" i="1"/>
  <c r="AU261" i="1"/>
  <c r="AS220" i="3"/>
  <c r="Q83" i="3"/>
  <c r="Q79" i="3"/>
  <c r="AS267" i="3"/>
  <c r="CU220" i="1"/>
  <c r="BT220" i="1"/>
  <c r="AS220" i="1"/>
  <c r="Q80" i="1" s="1"/>
  <c r="BT220" i="3"/>
  <c r="E143" i="3" l="1"/>
  <c r="S116" i="1"/>
  <c r="R141" i="1"/>
  <c r="S77" i="1"/>
  <c r="R78" i="1"/>
  <c r="CU266" i="1"/>
  <c r="CT273" i="1"/>
  <c r="CT268" i="1"/>
  <c r="CT269" i="1" s="1"/>
  <c r="R141" i="3"/>
  <c r="Q80" i="3"/>
  <c r="BT266" i="1"/>
  <c r="BS273" i="1"/>
  <c r="BS268" i="1"/>
  <c r="BS269" i="1" s="1"/>
  <c r="BT267" i="3"/>
  <c r="CW276" i="3"/>
  <c r="CW282" i="3"/>
  <c r="CX215" i="3"/>
  <c r="CW217" i="3"/>
  <c r="CW279" i="3"/>
  <c r="CH249" i="3"/>
  <c r="CI247" i="3"/>
  <c r="CI248" i="3" s="1"/>
  <c r="CG252" i="3"/>
  <c r="CG256" i="3" s="1"/>
  <c r="CG271" i="3" s="1"/>
  <c r="CG272" i="3"/>
  <c r="CK238" i="3"/>
  <c r="CK277" i="3"/>
  <c r="CL238" i="3"/>
  <c r="CL277" i="3"/>
  <c r="CM236" i="3"/>
  <c r="CM237" i="3" s="1"/>
  <c r="CN234" i="3"/>
  <c r="CN235" i="3" s="1"/>
  <c r="CN283" i="3" s="1"/>
  <c r="CM259" i="3"/>
  <c r="CM260" i="3" s="1"/>
  <c r="CM262" i="3" s="1"/>
  <c r="CM270" i="3" s="1"/>
  <c r="CV219" i="3"/>
  <c r="CV266" i="3"/>
  <c r="CU268" i="3"/>
  <c r="CU269" i="3" s="1"/>
  <c r="CU273" i="3"/>
  <c r="AR269" i="1"/>
  <c r="AS267" i="1"/>
  <c r="AT219" i="3"/>
  <c r="BM234" i="3"/>
  <c r="BM235" i="3" s="1"/>
  <c r="BM283" i="3" s="1"/>
  <c r="BL236" i="3"/>
  <c r="BL237" i="3" s="1"/>
  <c r="BL259" i="3"/>
  <c r="BL260" i="3" s="1"/>
  <c r="BL262" i="3" s="1"/>
  <c r="BL270" i="3" s="1"/>
  <c r="BK238" i="3"/>
  <c r="BK277" i="3"/>
  <c r="BJ281" i="3"/>
  <c r="BJ246" i="3"/>
  <c r="BG249" i="3"/>
  <c r="BH247" i="3"/>
  <c r="BH248" i="3" s="1"/>
  <c r="BF252" i="3"/>
  <c r="BF256" i="3" s="1"/>
  <c r="BF271" i="3" s="1"/>
  <c r="BF272" i="3"/>
  <c r="BV217" i="3"/>
  <c r="BV279" i="3"/>
  <c r="BV276" i="3"/>
  <c r="BV282" i="3"/>
  <c r="BW215" i="3"/>
  <c r="E100" i="3"/>
  <c r="AH246" i="3"/>
  <c r="F100" i="3" s="1"/>
  <c r="AH281" i="3"/>
  <c r="F143" i="3" s="1"/>
  <c r="F90" i="3"/>
  <c r="F117" i="3"/>
  <c r="AH270" i="3"/>
  <c r="F122" i="3" s="1"/>
  <c r="AJ260" i="3"/>
  <c r="H114" i="3"/>
  <c r="AK236" i="3"/>
  <c r="AK259" i="3"/>
  <c r="AL234" i="3"/>
  <c r="AL235" i="3" s="1"/>
  <c r="AL283" i="3" s="1"/>
  <c r="AJ237" i="3"/>
  <c r="H134" i="3"/>
  <c r="H89" i="3"/>
  <c r="AI238" i="3"/>
  <c r="AI277" i="3"/>
  <c r="G135" i="3"/>
  <c r="AI262" i="3"/>
  <c r="G115" i="3"/>
  <c r="D101" i="3"/>
  <c r="AF248" i="3"/>
  <c r="C105" i="3"/>
  <c r="AE252" i="3"/>
  <c r="AE272" i="3"/>
  <c r="R78" i="3"/>
  <c r="AU217" i="3"/>
  <c r="S77" i="3"/>
  <c r="AU279" i="3"/>
  <c r="S116" i="3"/>
  <c r="AU276" i="3"/>
  <c r="AU282" i="3"/>
  <c r="AV215" i="3"/>
  <c r="CH249" i="1"/>
  <c r="CI247" i="1"/>
  <c r="CI248" i="1" s="1"/>
  <c r="CG252" i="1"/>
  <c r="CG256" i="1" s="1"/>
  <c r="CG271" i="1" s="1"/>
  <c r="CG272" i="1"/>
  <c r="CK281" i="1"/>
  <c r="CK246" i="1"/>
  <c r="CL237" i="1"/>
  <c r="CM236" i="1"/>
  <c r="CM237" i="1" s="1"/>
  <c r="CM259" i="1"/>
  <c r="CM260" i="1" s="1"/>
  <c r="CM262" i="1" s="1"/>
  <c r="CM270" i="1" s="1"/>
  <c r="CN234" i="1"/>
  <c r="CN235" i="1" s="1"/>
  <c r="CN283" i="1" s="1"/>
  <c r="CW217" i="1"/>
  <c r="CW279" i="1"/>
  <c r="CW276" i="1"/>
  <c r="CW282" i="1"/>
  <c r="CX215" i="1"/>
  <c r="BG249" i="1"/>
  <c r="BH247" i="1"/>
  <c r="BH248" i="1" s="1"/>
  <c r="BF252" i="1"/>
  <c r="BF256" i="1" s="1"/>
  <c r="BF271" i="1" s="1"/>
  <c r="BF272" i="1"/>
  <c r="BJ281" i="1"/>
  <c r="BJ246" i="1"/>
  <c r="BK238" i="1"/>
  <c r="BK277" i="1"/>
  <c r="BL236" i="1"/>
  <c r="BL237" i="1" s="1"/>
  <c r="BL259" i="1"/>
  <c r="BL260" i="1" s="1"/>
  <c r="BL262" i="1" s="1"/>
  <c r="BL270" i="1" s="1"/>
  <c r="BM234" i="1"/>
  <c r="BM235" i="1" s="1"/>
  <c r="BM283" i="1" s="1"/>
  <c r="BV217" i="1"/>
  <c r="BV279" i="1"/>
  <c r="BV276" i="1"/>
  <c r="BV282" i="1"/>
  <c r="BW215" i="1"/>
  <c r="AF248" i="1"/>
  <c r="D101" i="1"/>
  <c r="AE252" i="1"/>
  <c r="AE272" i="1"/>
  <c r="C105" i="1"/>
  <c r="AH281" i="1"/>
  <c r="F143" i="1" s="1"/>
  <c r="AH246" i="1"/>
  <c r="F90" i="1"/>
  <c r="AH270" i="1"/>
  <c r="F122" i="1" s="1"/>
  <c r="F117" i="1"/>
  <c r="AI238" i="1"/>
  <c r="G135" i="1"/>
  <c r="AI277" i="1"/>
  <c r="G115" i="1"/>
  <c r="AI262" i="1"/>
  <c r="AJ237" i="1"/>
  <c r="H89" i="1"/>
  <c r="H134" i="1"/>
  <c r="AJ260" i="1"/>
  <c r="H114" i="1"/>
  <c r="AK236" i="1"/>
  <c r="AK259" i="1"/>
  <c r="AL234" i="1"/>
  <c r="AL235" i="1" s="1"/>
  <c r="AL283" i="1" s="1"/>
  <c r="AU217" i="1"/>
  <c r="AU279" i="1"/>
  <c r="AU276" i="1"/>
  <c r="AU282" i="1"/>
  <c r="AV215" i="1"/>
  <c r="AT266" i="3"/>
  <c r="AS273" i="3"/>
  <c r="AS268" i="3"/>
  <c r="CV219" i="1"/>
  <c r="BU219" i="1"/>
  <c r="AT219" i="1"/>
  <c r="BU219" i="3"/>
  <c r="P121" i="1" l="1"/>
  <c r="P120" i="1"/>
  <c r="S140" i="1"/>
  <c r="CU267" i="1"/>
  <c r="BT267" i="1"/>
  <c r="BU266" i="3"/>
  <c r="BT268" i="3"/>
  <c r="BT269" i="3" s="1"/>
  <c r="BT273" i="3"/>
  <c r="CX216" i="3"/>
  <c r="CX261" i="3"/>
  <c r="CW218" i="3"/>
  <c r="CW280" i="3"/>
  <c r="CH252" i="3"/>
  <c r="CH256" i="3" s="1"/>
  <c r="CH271" i="3" s="1"/>
  <c r="CH272" i="3"/>
  <c r="CI249" i="3"/>
  <c r="CJ247" i="3"/>
  <c r="CJ248" i="3" s="1"/>
  <c r="CK281" i="3"/>
  <c r="CK246" i="3"/>
  <c r="CL246" i="3"/>
  <c r="CL281" i="3"/>
  <c r="CM238" i="3"/>
  <c r="CM277" i="3"/>
  <c r="CN236" i="3"/>
  <c r="CN237" i="3" s="1"/>
  <c r="CN259" i="3"/>
  <c r="CN260" i="3" s="1"/>
  <c r="CN262" i="3" s="1"/>
  <c r="CN270" i="3" s="1"/>
  <c r="CO234" i="3"/>
  <c r="CO235" i="3" s="1"/>
  <c r="CO283" i="3" s="1"/>
  <c r="CV220" i="3"/>
  <c r="CV267" i="3"/>
  <c r="AT266" i="1"/>
  <c r="AS273" i="1"/>
  <c r="AS268" i="1"/>
  <c r="S144" i="1"/>
  <c r="S142" i="1"/>
  <c r="R83" i="1"/>
  <c r="R79" i="1"/>
  <c r="R79" i="3"/>
  <c r="R83" i="3"/>
  <c r="AT220" i="3"/>
  <c r="AT267" i="3"/>
  <c r="BM236" i="3"/>
  <c r="BM237" i="3" s="1"/>
  <c r="BM259" i="3"/>
  <c r="BM260" i="3" s="1"/>
  <c r="BM262" i="3" s="1"/>
  <c r="BM270" i="3" s="1"/>
  <c r="BN234" i="3"/>
  <c r="BN235" i="3" s="1"/>
  <c r="BN283" i="3" s="1"/>
  <c r="BL238" i="3"/>
  <c r="BL277" i="3"/>
  <c r="BK246" i="3"/>
  <c r="BK281" i="3"/>
  <c r="BG252" i="3"/>
  <c r="BG256" i="3" s="1"/>
  <c r="BG271" i="3" s="1"/>
  <c r="BG272" i="3"/>
  <c r="BH249" i="3"/>
  <c r="BI247" i="3"/>
  <c r="BI248" i="3" s="1"/>
  <c r="BV218" i="3"/>
  <c r="BV280" i="3"/>
  <c r="BW216" i="3"/>
  <c r="BW261" i="3"/>
  <c r="AJ262" i="3"/>
  <c r="H115" i="3"/>
  <c r="AK237" i="3"/>
  <c r="I134" i="3"/>
  <c r="I89" i="3"/>
  <c r="AK260" i="3"/>
  <c r="I114" i="3"/>
  <c r="AL259" i="3"/>
  <c r="AM234" i="3"/>
  <c r="AM235" i="3" s="1"/>
  <c r="AM283" i="3" s="1"/>
  <c r="AL236" i="3"/>
  <c r="AJ238" i="3"/>
  <c r="H135" i="3"/>
  <c r="AJ277" i="3"/>
  <c r="AI281" i="3"/>
  <c r="AI246" i="3"/>
  <c r="G90" i="3"/>
  <c r="G117" i="3"/>
  <c r="AI270" i="3"/>
  <c r="G122" i="3" s="1"/>
  <c r="D102" i="3"/>
  <c r="AF291" i="3"/>
  <c r="AF249" i="3"/>
  <c r="AG247" i="3"/>
  <c r="C108" i="3"/>
  <c r="AE256" i="3"/>
  <c r="AU218" i="3"/>
  <c r="AU280" i="3"/>
  <c r="S140" i="3"/>
  <c r="S142" i="3"/>
  <c r="S144" i="3"/>
  <c r="AV216" i="3"/>
  <c r="AV261" i="3"/>
  <c r="CH252" i="1"/>
  <c r="CH256" i="1" s="1"/>
  <c r="CH271" i="1" s="1"/>
  <c r="CH272" i="1"/>
  <c r="CI249" i="1"/>
  <c r="CJ247" i="1"/>
  <c r="CJ248" i="1" s="1"/>
  <c r="CL238" i="1"/>
  <c r="CL277" i="1"/>
  <c r="CM238" i="1"/>
  <c r="CM277" i="1"/>
  <c r="CN236" i="1"/>
  <c r="CN237" i="1" s="1"/>
  <c r="CN259" i="1"/>
  <c r="CN260" i="1" s="1"/>
  <c r="CN262" i="1" s="1"/>
  <c r="CN270" i="1" s="1"/>
  <c r="CO234" i="1"/>
  <c r="CO235" i="1" s="1"/>
  <c r="CO283" i="1" s="1"/>
  <c r="CW218" i="1"/>
  <c r="CW280" i="1"/>
  <c r="CX216" i="1"/>
  <c r="CX261" i="1"/>
  <c r="BG252" i="1"/>
  <c r="BG256" i="1" s="1"/>
  <c r="BG271" i="1" s="1"/>
  <c r="BG272" i="1"/>
  <c r="BH249" i="1"/>
  <c r="BI247" i="1"/>
  <c r="BI248" i="1" s="1"/>
  <c r="BK281" i="1"/>
  <c r="BK246" i="1"/>
  <c r="BL238" i="1"/>
  <c r="BL277" i="1"/>
  <c r="BM236" i="1"/>
  <c r="BM237" i="1" s="1"/>
  <c r="BM259" i="1"/>
  <c r="BM260" i="1" s="1"/>
  <c r="BM262" i="1" s="1"/>
  <c r="BM270" i="1" s="1"/>
  <c r="BN234" i="1"/>
  <c r="BN235" i="1" s="1"/>
  <c r="BN283" i="1" s="1"/>
  <c r="BV218" i="1"/>
  <c r="BV280" i="1"/>
  <c r="BW216" i="1"/>
  <c r="BW261" i="1"/>
  <c r="AF291" i="1"/>
  <c r="AF249" i="1"/>
  <c r="D102" i="1"/>
  <c r="AG247" i="1"/>
  <c r="AE256" i="1"/>
  <c r="C108" i="1"/>
  <c r="F100" i="1"/>
  <c r="AI281" i="1"/>
  <c r="G143" i="1" s="1"/>
  <c r="AI246" i="1"/>
  <c r="G100" i="1" s="1"/>
  <c r="G90" i="1"/>
  <c r="AI270" i="1"/>
  <c r="G122" i="1" s="1"/>
  <c r="G117" i="1"/>
  <c r="AJ238" i="1"/>
  <c r="H135" i="1"/>
  <c r="AJ277" i="1"/>
  <c r="H115" i="1"/>
  <c r="AJ262" i="1"/>
  <c r="AK237" i="1"/>
  <c r="I134" i="1"/>
  <c r="I89" i="1"/>
  <c r="AK260" i="1"/>
  <c r="I114" i="1"/>
  <c r="AL236" i="1"/>
  <c r="AL259" i="1"/>
  <c r="AM234" i="1"/>
  <c r="AM235" i="1" s="1"/>
  <c r="AM283" i="1" s="1"/>
  <c r="AU218" i="1"/>
  <c r="AU280" i="1"/>
  <c r="AV216" i="1"/>
  <c r="AV261" i="1"/>
  <c r="AS269" i="3"/>
  <c r="CV220" i="1"/>
  <c r="BU220" i="1"/>
  <c r="AT220" i="1"/>
  <c r="R80" i="1" s="1"/>
  <c r="BU220" i="3"/>
  <c r="G100" i="3" l="1"/>
  <c r="G143" i="3"/>
  <c r="CV266" i="1"/>
  <c r="CU273" i="1"/>
  <c r="CU268" i="1"/>
  <c r="CU269" i="1" s="1"/>
  <c r="BU266" i="1"/>
  <c r="BT273" i="1"/>
  <c r="BT268" i="1"/>
  <c r="BT269" i="1" s="1"/>
  <c r="R80" i="3"/>
  <c r="S141" i="3"/>
  <c r="Q121" i="3"/>
  <c r="Q120" i="3"/>
  <c r="BU267" i="3"/>
  <c r="AS269" i="1"/>
  <c r="CX279" i="3"/>
  <c r="CX276" i="3"/>
  <c r="CX282" i="3"/>
  <c r="CY215" i="3"/>
  <c r="CI272" i="3"/>
  <c r="CJ249" i="3"/>
  <c r="CK247" i="3"/>
  <c r="CK248" i="3" s="1"/>
  <c r="CM246" i="3"/>
  <c r="CM281" i="3"/>
  <c r="CN238" i="3"/>
  <c r="CN277" i="3"/>
  <c r="CO236" i="3"/>
  <c r="CO237" i="3" s="1"/>
  <c r="CO259" i="3"/>
  <c r="CO260" i="3" s="1"/>
  <c r="CO262" i="3" s="1"/>
  <c r="CO270" i="3" s="1"/>
  <c r="CP234" i="3"/>
  <c r="CP235" i="3" s="1"/>
  <c r="CP283" i="3" s="1"/>
  <c r="CX217" i="3"/>
  <c r="CI252" i="3"/>
  <c r="CI256" i="3" s="1"/>
  <c r="CI271" i="3" s="1"/>
  <c r="CW219" i="3"/>
  <c r="CW266" i="3"/>
  <c r="CV273" i="3"/>
  <c r="CV268" i="3"/>
  <c r="CV269" i="3" s="1"/>
  <c r="AT267" i="1"/>
  <c r="S78" i="1"/>
  <c r="S141" i="1"/>
  <c r="T77" i="1"/>
  <c r="T116" i="1"/>
  <c r="AT273" i="3"/>
  <c r="AU266" i="3"/>
  <c r="AT268" i="3"/>
  <c r="BM238" i="3"/>
  <c r="BM277" i="3"/>
  <c r="BO234" i="3"/>
  <c r="BO235" i="3" s="1"/>
  <c r="BO283" i="3" s="1"/>
  <c r="BN236" i="3"/>
  <c r="BN237" i="3" s="1"/>
  <c r="BN259" i="3"/>
  <c r="BN260" i="3" s="1"/>
  <c r="BN262" i="3" s="1"/>
  <c r="BN270" i="3" s="1"/>
  <c r="BL246" i="3"/>
  <c r="BL281" i="3"/>
  <c r="BH252" i="3"/>
  <c r="BH256" i="3" s="1"/>
  <c r="BH271" i="3" s="1"/>
  <c r="BH272" i="3"/>
  <c r="BI249" i="3"/>
  <c r="BJ247" i="3"/>
  <c r="BJ248" i="3" s="1"/>
  <c r="BW217" i="3"/>
  <c r="BW279" i="3"/>
  <c r="BW276" i="3"/>
  <c r="BW282" i="3"/>
  <c r="BX215" i="3"/>
  <c r="H117" i="3"/>
  <c r="AJ270" i="3"/>
  <c r="H122" i="3" s="1"/>
  <c r="AK238" i="3"/>
  <c r="AK277" i="3"/>
  <c r="I135" i="3"/>
  <c r="AK262" i="3"/>
  <c r="I115" i="3"/>
  <c r="AL260" i="3"/>
  <c r="J114" i="3"/>
  <c r="AM236" i="3"/>
  <c r="AM259" i="3"/>
  <c r="AN234" i="3"/>
  <c r="AN235" i="3" s="1"/>
  <c r="AN283" i="3" s="1"/>
  <c r="AL237" i="3"/>
  <c r="J134" i="3"/>
  <c r="J89" i="3"/>
  <c r="AJ246" i="3"/>
  <c r="AJ281" i="3"/>
  <c r="H143" i="3" s="1"/>
  <c r="H90" i="3"/>
  <c r="D105" i="3"/>
  <c r="AF252" i="3"/>
  <c r="AF272" i="3"/>
  <c r="E101" i="3"/>
  <c r="AG248" i="3"/>
  <c r="C110" i="3"/>
  <c r="AE271" i="3"/>
  <c r="S78" i="3"/>
  <c r="AV217" i="3"/>
  <c r="T77" i="3"/>
  <c r="AV279" i="3"/>
  <c r="T116" i="3"/>
  <c r="AV276" i="3"/>
  <c r="AV282" i="3"/>
  <c r="AW215" i="3"/>
  <c r="CI252" i="1"/>
  <c r="CI256" i="1" s="1"/>
  <c r="CI271" i="1" s="1"/>
  <c r="CI272" i="1"/>
  <c r="CJ249" i="1"/>
  <c r="CK247" i="1"/>
  <c r="CK248" i="1" s="1"/>
  <c r="CL281" i="1"/>
  <c r="CL246" i="1"/>
  <c r="CM281" i="1"/>
  <c r="CM246" i="1"/>
  <c r="CN238" i="1"/>
  <c r="CN277" i="1"/>
  <c r="CO236" i="1"/>
  <c r="CO237" i="1" s="1"/>
  <c r="CO259" i="1"/>
  <c r="CO260" i="1" s="1"/>
  <c r="CO262" i="1" s="1"/>
  <c r="CO270" i="1" s="1"/>
  <c r="CP234" i="1"/>
  <c r="CP235" i="1" s="1"/>
  <c r="CP283" i="1" s="1"/>
  <c r="CX217" i="1"/>
  <c r="CX279" i="1"/>
  <c r="CX276" i="1"/>
  <c r="CX282" i="1"/>
  <c r="CY215" i="1"/>
  <c r="BH252" i="1"/>
  <c r="BH256" i="1" s="1"/>
  <c r="BH271" i="1" s="1"/>
  <c r="BH272" i="1"/>
  <c r="BI249" i="1"/>
  <c r="BJ247" i="1"/>
  <c r="BJ248" i="1" s="1"/>
  <c r="BL281" i="1"/>
  <c r="BL246" i="1"/>
  <c r="BM238" i="1"/>
  <c r="BM277" i="1"/>
  <c r="BN236" i="1"/>
  <c r="BN237" i="1" s="1"/>
  <c r="BN259" i="1"/>
  <c r="BN260" i="1" s="1"/>
  <c r="BN262" i="1" s="1"/>
  <c r="BN270" i="1" s="1"/>
  <c r="BO234" i="1"/>
  <c r="BO235" i="1" s="1"/>
  <c r="BO283" i="1" s="1"/>
  <c r="BW217" i="1"/>
  <c r="BW279" i="1"/>
  <c r="BW276" i="1"/>
  <c r="BW282" i="1"/>
  <c r="BX215" i="1"/>
  <c r="AF272" i="1"/>
  <c r="D105" i="1"/>
  <c r="AF252" i="1"/>
  <c r="AG248" i="1"/>
  <c r="E101" i="1"/>
  <c r="AE271" i="1"/>
  <c r="C110" i="1"/>
  <c r="AJ281" i="1"/>
  <c r="AJ246" i="1"/>
  <c r="H90" i="1"/>
  <c r="AJ270" i="1"/>
  <c r="H122" i="1" s="1"/>
  <c r="H117" i="1"/>
  <c r="AK238" i="1"/>
  <c r="I135" i="1"/>
  <c r="AK277" i="1"/>
  <c r="I115" i="1"/>
  <c r="AK262" i="1"/>
  <c r="AL237" i="1"/>
  <c r="J89" i="1"/>
  <c r="J134" i="1"/>
  <c r="AL260" i="1"/>
  <c r="J114" i="1"/>
  <c r="AM236" i="1"/>
  <c r="AM259" i="1"/>
  <c r="AN234" i="1"/>
  <c r="AN235" i="1" s="1"/>
  <c r="AN283" i="1" s="1"/>
  <c r="AV217" i="1"/>
  <c r="AV279" i="1"/>
  <c r="AV276" i="1"/>
  <c r="AV282" i="1"/>
  <c r="AW215" i="1"/>
  <c r="AU219" i="3"/>
  <c r="CW219" i="1"/>
  <c r="BV219" i="1"/>
  <c r="AU219" i="1"/>
  <c r="BV219" i="3"/>
  <c r="H143" i="1" l="1"/>
  <c r="Q120" i="1"/>
  <c r="CV267" i="1"/>
  <c r="Q121" i="1"/>
  <c r="BU267" i="1"/>
  <c r="BV266" i="3"/>
  <c r="BU273" i="3"/>
  <c r="BU268" i="3"/>
  <c r="BU269" i="3" s="1"/>
  <c r="CY261" i="3"/>
  <c r="CN281" i="3"/>
  <c r="CO277" i="3"/>
  <c r="CP259" i="3"/>
  <c r="CP260" i="3" s="1"/>
  <c r="CP262" i="3" s="1"/>
  <c r="CP270" i="3" s="1"/>
  <c r="CX280" i="3"/>
  <c r="CY216" i="3"/>
  <c r="CJ252" i="3"/>
  <c r="CJ256" i="3" s="1"/>
  <c r="CJ271" i="3" s="1"/>
  <c r="CJ272" i="3"/>
  <c r="CK249" i="3"/>
  <c r="CL247" i="3"/>
  <c r="CL248" i="3" s="1"/>
  <c r="CN246" i="3"/>
  <c r="CO238" i="3"/>
  <c r="CP236" i="3"/>
  <c r="CQ234" i="3"/>
  <c r="CQ235" i="3" s="1"/>
  <c r="CQ283" i="3" s="1"/>
  <c r="CX218" i="3"/>
  <c r="CW220" i="3"/>
  <c r="CW267" i="3"/>
  <c r="T140" i="1"/>
  <c r="AU266" i="1"/>
  <c r="AT273" i="1"/>
  <c r="AT268" i="1"/>
  <c r="T144" i="1"/>
  <c r="T142" i="1"/>
  <c r="S83" i="1"/>
  <c r="S79" i="1"/>
  <c r="AT269" i="3"/>
  <c r="BM281" i="3"/>
  <c r="BM246" i="3"/>
  <c r="BO236" i="3"/>
  <c r="BO237" i="3" s="1"/>
  <c r="BO259" i="3"/>
  <c r="BO260" i="3" s="1"/>
  <c r="BO262" i="3" s="1"/>
  <c r="BO270" i="3" s="1"/>
  <c r="BP234" i="3"/>
  <c r="BP235" i="3" s="1"/>
  <c r="BP283" i="3" s="1"/>
  <c r="BN238" i="3"/>
  <c r="BN277" i="3"/>
  <c r="BI252" i="3"/>
  <c r="BI256" i="3" s="1"/>
  <c r="BI271" i="3" s="1"/>
  <c r="BI272" i="3"/>
  <c r="BJ249" i="3"/>
  <c r="BK247" i="3"/>
  <c r="BK248" i="3" s="1"/>
  <c r="BW218" i="3"/>
  <c r="BW280" i="3"/>
  <c r="BX216" i="3"/>
  <c r="BX261" i="3"/>
  <c r="AK281" i="3"/>
  <c r="I143" i="3" s="1"/>
  <c r="AK246" i="3"/>
  <c r="I100" i="3" s="1"/>
  <c r="I90" i="3"/>
  <c r="I117" i="3"/>
  <c r="AK270" i="3"/>
  <c r="I122" i="3" s="1"/>
  <c r="AL262" i="3"/>
  <c r="J115" i="3"/>
  <c r="AM237" i="3"/>
  <c r="K134" i="3"/>
  <c r="K89" i="3"/>
  <c r="AM260" i="3"/>
  <c r="K114" i="3"/>
  <c r="AN259" i="3"/>
  <c r="AO234" i="3"/>
  <c r="AO235" i="3" s="1"/>
  <c r="AO283" i="3" s="1"/>
  <c r="AN236" i="3"/>
  <c r="AL238" i="3"/>
  <c r="AL277" i="3"/>
  <c r="J135" i="3"/>
  <c r="H100" i="3"/>
  <c r="D108" i="3"/>
  <c r="AF256" i="3"/>
  <c r="E102" i="3"/>
  <c r="AG291" i="3"/>
  <c r="AG249" i="3"/>
  <c r="AH247" i="3"/>
  <c r="C123" i="3"/>
  <c r="AV218" i="3"/>
  <c r="AV280" i="3"/>
  <c r="T140" i="3"/>
  <c r="T142" i="3"/>
  <c r="T144" i="3"/>
  <c r="AW216" i="3"/>
  <c r="AW261" i="3"/>
  <c r="CJ252" i="1"/>
  <c r="CJ256" i="1" s="1"/>
  <c r="CJ271" i="1" s="1"/>
  <c r="CJ272" i="1"/>
  <c r="CK249" i="1"/>
  <c r="CL247" i="1"/>
  <c r="CL248" i="1" s="1"/>
  <c r="CN281" i="1"/>
  <c r="CN246" i="1"/>
  <c r="CO238" i="1"/>
  <c r="CO277" i="1"/>
  <c r="CP236" i="1"/>
  <c r="CP237" i="1" s="1"/>
  <c r="CP259" i="1"/>
  <c r="CP260" i="1" s="1"/>
  <c r="CP262" i="1" s="1"/>
  <c r="CP270" i="1" s="1"/>
  <c r="CQ234" i="1"/>
  <c r="CQ235" i="1" s="1"/>
  <c r="CQ283" i="1" s="1"/>
  <c r="CX218" i="1"/>
  <c r="CX280" i="1"/>
  <c r="CY216" i="1"/>
  <c r="CY261" i="1"/>
  <c r="BI252" i="1"/>
  <c r="BI256" i="1" s="1"/>
  <c r="BI271" i="1" s="1"/>
  <c r="BI272" i="1"/>
  <c r="BJ249" i="1"/>
  <c r="BK247" i="1"/>
  <c r="BK248" i="1" s="1"/>
  <c r="BM281" i="1"/>
  <c r="BM246" i="1"/>
  <c r="BN238" i="1"/>
  <c r="BN277" i="1"/>
  <c r="BO236" i="1"/>
  <c r="BO237" i="1" s="1"/>
  <c r="BO259" i="1"/>
  <c r="BO260" i="1" s="1"/>
  <c r="BO262" i="1" s="1"/>
  <c r="BO270" i="1" s="1"/>
  <c r="BP234" i="1"/>
  <c r="BP235" i="1" s="1"/>
  <c r="BP283" i="1" s="1"/>
  <c r="BW218" i="1"/>
  <c r="BW280" i="1"/>
  <c r="BX216" i="1"/>
  <c r="BX261" i="1"/>
  <c r="D108" i="1"/>
  <c r="AF256" i="1"/>
  <c r="AG291" i="1"/>
  <c r="AG249" i="1"/>
  <c r="E102" i="1"/>
  <c r="AH247" i="1"/>
  <c r="C123" i="1"/>
  <c r="H100" i="1"/>
  <c r="AK281" i="1"/>
  <c r="I143" i="1" s="1"/>
  <c r="AK246" i="1"/>
  <c r="I100" i="1" s="1"/>
  <c r="I90" i="1"/>
  <c r="AK270" i="1"/>
  <c r="I122" i="1" s="1"/>
  <c r="I117" i="1"/>
  <c r="AL238" i="1"/>
  <c r="J135" i="1"/>
  <c r="AL277" i="1"/>
  <c r="J115" i="1"/>
  <c r="AL262" i="1"/>
  <c r="AM237" i="1"/>
  <c r="K134" i="1"/>
  <c r="K89" i="1"/>
  <c r="AM260" i="1"/>
  <c r="K114" i="1"/>
  <c r="AN236" i="1"/>
  <c r="AN259" i="1"/>
  <c r="AO234" i="1"/>
  <c r="AO235" i="1" s="1"/>
  <c r="AO283" i="1" s="1"/>
  <c r="AV218" i="1"/>
  <c r="AV280" i="1"/>
  <c r="AW216" i="1"/>
  <c r="AW261" i="1"/>
  <c r="AU220" i="3"/>
  <c r="S83" i="3"/>
  <c r="S79" i="3"/>
  <c r="AU267" i="3"/>
  <c r="CW220" i="1"/>
  <c r="BV220" i="1"/>
  <c r="AU220" i="1"/>
  <c r="S80" i="1" s="1"/>
  <c r="BV220" i="3"/>
  <c r="T141" i="3" l="1"/>
  <c r="U116" i="1"/>
  <c r="U77" i="1"/>
  <c r="T78" i="1"/>
  <c r="T141" i="1"/>
  <c r="CW266" i="1"/>
  <c r="CV273" i="1"/>
  <c r="CV268" i="1"/>
  <c r="CV269" i="1" s="1"/>
  <c r="BU273" i="1"/>
  <c r="BU268" i="1"/>
  <c r="BU269" i="1" s="1"/>
  <c r="BV266" i="1"/>
  <c r="R120" i="3"/>
  <c r="R121" i="3"/>
  <c r="S80" i="3"/>
  <c r="BV267" i="3"/>
  <c r="CY276" i="3"/>
  <c r="CZ215" i="3"/>
  <c r="CY217" i="3"/>
  <c r="CY282" i="3"/>
  <c r="AT269" i="1"/>
  <c r="CY279" i="3"/>
  <c r="CK252" i="3"/>
  <c r="CK256" i="3" s="1"/>
  <c r="CK271" i="3" s="1"/>
  <c r="CK272" i="3"/>
  <c r="CL249" i="3"/>
  <c r="CM247" i="3"/>
  <c r="CM248" i="3" s="1"/>
  <c r="CO281" i="3"/>
  <c r="CO246" i="3"/>
  <c r="CP237" i="3"/>
  <c r="CQ259" i="3"/>
  <c r="CQ260" i="3" s="1"/>
  <c r="CQ262" i="3" s="1"/>
  <c r="CQ270" i="3" s="1"/>
  <c r="CR234" i="3"/>
  <c r="CQ236" i="3"/>
  <c r="CQ237" i="3" s="1"/>
  <c r="CX219" i="3"/>
  <c r="CW268" i="3"/>
  <c r="CW269" i="3" s="1"/>
  <c r="CX266" i="3"/>
  <c r="CW273" i="3"/>
  <c r="AU267" i="1"/>
  <c r="AV219" i="3"/>
  <c r="BO238" i="3"/>
  <c r="BO277" i="3"/>
  <c r="BP236" i="3"/>
  <c r="BP237" i="3" s="1"/>
  <c r="BQ234" i="3"/>
  <c r="BP259" i="3"/>
  <c r="BP260" i="3" s="1"/>
  <c r="BP262" i="3" s="1"/>
  <c r="BP270" i="3" s="1"/>
  <c r="BN246" i="3"/>
  <c r="BN281" i="3"/>
  <c r="BJ252" i="3"/>
  <c r="BJ256" i="3" s="1"/>
  <c r="BJ271" i="3" s="1"/>
  <c r="BJ272" i="3"/>
  <c r="BK249" i="3"/>
  <c r="BL247" i="3"/>
  <c r="BL248" i="3" s="1"/>
  <c r="BX217" i="3"/>
  <c r="BX279" i="3"/>
  <c r="BX276" i="3"/>
  <c r="BX282" i="3"/>
  <c r="BY215" i="3"/>
  <c r="J117" i="3"/>
  <c r="AL270" i="3"/>
  <c r="J122" i="3" s="1"/>
  <c r="AM238" i="3"/>
  <c r="AM277" i="3"/>
  <c r="K135" i="3"/>
  <c r="AM262" i="3"/>
  <c r="K115" i="3"/>
  <c r="AN260" i="3"/>
  <c r="L114" i="3"/>
  <c r="AP234" i="3"/>
  <c r="AO236" i="3"/>
  <c r="AO259" i="3"/>
  <c r="AN237" i="3"/>
  <c r="L134" i="3"/>
  <c r="L89" i="3"/>
  <c r="AL246" i="3"/>
  <c r="J100" i="3" s="1"/>
  <c r="AL281" i="3"/>
  <c r="J143" i="3" s="1"/>
  <c r="J90" i="3"/>
  <c r="D110" i="3"/>
  <c r="AF271" i="3"/>
  <c r="E105" i="3"/>
  <c r="AG252" i="3"/>
  <c r="AG272" i="3"/>
  <c r="F101" i="3"/>
  <c r="AH248" i="3"/>
  <c r="T78" i="3"/>
  <c r="AW217" i="3"/>
  <c r="U77" i="3"/>
  <c r="AW279" i="3"/>
  <c r="U116" i="3"/>
  <c r="AW276" i="3"/>
  <c r="AW282" i="3"/>
  <c r="AX215" i="3"/>
  <c r="CK252" i="1"/>
  <c r="CK256" i="1" s="1"/>
  <c r="CK271" i="1" s="1"/>
  <c r="CK272" i="1"/>
  <c r="CL249" i="1"/>
  <c r="CM247" i="1"/>
  <c r="CM248" i="1" s="1"/>
  <c r="CO281" i="1"/>
  <c r="CO246" i="1"/>
  <c r="CP238" i="1"/>
  <c r="CP277" i="1"/>
  <c r="CQ236" i="1"/>
  <c r="CQ259" i="1"/>
  <c r="CQ260" i="1" s="1"/>
  <c r="CQ262" i="1" s="1"/>
  <c r="CQ270" i="1" s="1"/>
  <c r="CR234" i="1"/>
  <c r="CY217" i="1"/>
  <c r="CY279" i="1"/>
  <c r="CY276" i="1"/>
  <c r="CY282" i="1"/>
  <c r="CZ215" i="1"/>
  <c r="BJ252" i="1"/>
  <c r="BJ256" i="1" s="1"/>
  <c r="BJ271" i="1" s="1"/>
  <c r="BJ272" i="1"/>
  <c r="BK249" i="1"/>
  <c r="BL247" i="1"/>
  <c r="BL248" i="1" s="1"/>
  <c r="BN281" i="1"/>
  <c r="BN246" i="1"/>
  <c r="BO238" i="1"/>
  <c r="BO277" i="1"/>
  <c r="BP236" i="1"/>
  <c r="BP237" i="1" s="1"/>
  <c r="BP259" i="1"/>
  <c r="BP260" i="1" s="1"/>
  <c r="BP262" i="1" s="1"/>
  <c r="BP270" i="1" s="1"/>
  <c r="BQ234" i="1"/>
  <c r="BX217" i="1"/>
  <c r="BX279" i="1"/>
  <c r="BX276" i="1"/>
  <c r="BX282" i="1"/>
  <c r="BY215" i="1"/>
  <c r="AF271" i="1"/>
  <c r="D110" i="1"/>
  <c r="AG252" i="1"/>
  <c r="AG272" i="1"/>
  <c r="E105" i="1"/>
  <c r="AH248" i="1"/>
  <c r="F101" i="1"/>
  <c r="AL281" i="1"/>
  <c r="J143" i="1" s="1"/>
  <c r="AL246" i="1"/>
  <c r="J100" i="1" s="1"/>
  <c r="J90" i="1"/>
  <c r="AL270" i="1"/>
  <c r="J122" i="1" s="1"/>
  <c r="J117" i="1"/>
  <c r="AM238" i="1"/>
  <c r="K135" i="1"/>
  <c r="AM277" i="1"/>
  <c r="K115" i="1"/>
  <c r="AM262" i="1"/>
  <c r="AN237" i="1"/>
  <c r="L134" i="1"/>
  <c r="L89" i="1"/>
  <c r="AN260" i="1"/>
  <c r="L114" i="1"/>
  <c r="AO236" i="1"/>
  <c r="AO259" i="1"/>
  <c r="AP234" i="1"/>
  <c r="AW217" i="1"/>
  <c r="AW279" i="1"/>
  <c r="AW276" i="1"/>
  <c r="AW282" i="1"/>
  <c r="AX215" i="1"/>
  <c r="AV266" i="3"/>
  <c r="AU273" i="3"/>
  <c r="AU268" i="3"/>
  <c r="BW219" i="1"/>
  <c r="CX219" i="1"/>
  <c r="BW219" i="3"/>
  <c r="AV219" i="1"/>
  <c r="U140" i="1" l="1"/>
  <c r="R120" i="1"/>
  <c r="CW267" i="1"/>
  <c r="R121" i="1"/>
  <c r="BV267" i="1"/>
  <c r="BW266" i="3"/>
  <c r="BV268" i="3"/>
  <c r="BV269" i="3" s="1"/>
  <c r="BV273" i="3"/>
  <c r="CZ261" i="3"/>
  <c r="CL252" i="3"/>
  <c r="CL256" i="3" s="1"/>
  <c r="CL271" i="3" s="1"/>
  <c r="CZ216" i="3"/>
  <c r="CY218" i="3"/>
  <c r="CN247" i="3"/>
  <c r="CN248" i="3" s="1"/>
  <c r="CL272" i="3"/>
  <c r="CY280" i="3"/>
  <c r="CM249" i="3"/>
  <c r="CP238" i="3"/>
  <c r="CP277" i="3"/>
  <c r="DE234" i="3"/>
  <c r="CR235" i="3"/>
  <c r="CR283" i="3" s="1"/>
  <c r="CQ238" i="3"/>
  <c r="CQ277" i="3"/>
  <c r="CX220" i="3"/>
  <c r="CX267" i="3"/>
  <c r="AU273" i="1"/>
  <c r="AU268" i="1"/>
  <c r="AV266" i="1"/>
  <c r="U144" i="1"/>
  <c r="U142" i="1"/>
  <c r="T83" i="1"/>
  <c r="T79" i="1"/>
  <c r="T79" i="3"/>
  <c r="T83" i="3"/>
  <c r="AV220" i="3"/>
  <c r="T80" i="3" s="1"/>
  <c r="AV267" i="3"/>
  <c r="BO281" i="3"/>
  <c r="BO246" i="3"/>
  <c r="BP238" i="3"/>
  <c r="BP277" i="3"/>
  <c r="CD234" i="3"/>
  <c r="BQ235" i="3"/>
  <c r="BQ283" i="3" s="1"/>
  <c r="BK252" i="3"/>
  <c r="BK256" i="3" s="1"/>
  <c r="BK271" i="3" s="1"/>
  <c r="BK272" i="3"/>
  <c r="BL249" i="3"/>
  <c r="BM247" i="3"/>
  <c r="BM248" i="3" s="1"/>
  <c r="BX218" i="3"/>
  <c r="BX280" i="3"/>
  <c r="BY216" i="3"/>
  <c r="BY261" i="3"/>
  <c r="AM281" i="3"/>
  <c r="K143" i="3" s="1"/>
  <c r="AM246" i="3"/>
  <c r="K90" i="3"/>
  <c r="K117" i="3"/>
  <c r="AM270" i="3"/>
  <c r="K122" i="3" s="1"/>
  <c r="AN262" i="3"/>
  <c r="L115" i="3"/>
  <c r="AP235" i="3"/>
  <c r="AP283" i="3" s="1"/>
  <c r="BC234" i="3"/>
  <c r="AO237" i="3"/>
  <c r="M134" i="3"/>
  <c r="M89" i="3"/>
  <c r="AO260" i="3"/>
  <c r="M114" i="3"/>
  <c r="AN238" i="3"/>
  <c r="AN277" i="3"/>
  <c r="L135" i="3"/>
  <c r="D123" i="3"/>
  <c r="E108" i="3"/>
  <c r="AG256" i="3"/>
  <c r="F102" i="3"/>
  <c r="AH291" i="3"/>
  <c r="AH249" i="3"/>
  <c r="AI247" i="3"/>
  <c r="AW218" i="3"/>
  <c r="AW280" i="3"/>
  <c r="U140" i="3"/>
  <c r="U142" i="3"/>
  <c r="U144" i="3"/>
  <c r="AX216" i="3"/>
  <c r="AX261" i="3"/>
  <c r="CL252" i="1"/>
  <c r="CL256" i="1" s="1"/>
  <c r="CL271" i="1" s="1"/>
  <c r="CL272" i="1"/>
  <c r="CM249" i="1"/>
  <c r="CN247" i="1"/>
  <c r="CN248" i="1" s="1"/>
  <c r="CP281" i="1"/>
  <c r="CP246" i="1"/>
  <c r="CQ237" i="1"/>
  <c r="DE234" i="1"/>
  <c r="CR235" i="1"/>
  <c r="CR283" i="1" s="1"/>
  <c r="CY218" i="1"/>
  <c r="CY280" i="1"/>
  <c r="CZ216" i="1"/>
  <c r="CZ261" i="1"/>
  <c r="BK252" i="1"/>
  <c r="BK256" i="1" s="1"/>
  <c r="BK271" i="1" s="1"/>
  <c r="BK272" i="1"/>
  <c r="BL249" i="1"/>
  <c r="BM247" i="1"/>
  <c r="BM248" i="1" s="1"/>
  <c r="BO281" i="1"/>
  <c r="BO246" i="1"/>
  <c r="BP238" i="1"/>
  <c r="BP277" i="1"/>
  <c r="CD234" i="1"/>
  <c r="BQ235" i="1"/>
  <c r="BQ283" i="1" s="1"/>
  <c r="BX218" i="1"/>
  <c r="BX280" i="1"/>
  <c r="BY216" i="1"/>
  <c r="BY261" i="1"/>
  <c r="D123" i="1"/>
  <c r="AG256" i="1"/>
  <c r="E108" i="1"/>
  <c r="AH291" i="1"/>
  <c r="AH249" i="1"/>
  <c r="F102" i="1"/>
  <c r="AI247" i="1"/>
  <c r="AM281" i="1"/>
  <c r="K143" i="1" s="1"/>
  <c r="AM246" i="1"/>
  <c r="K100" i="1" s="1"/>
  <c r="K90" i="1"/>
  <c r="AM270" i="1"/>
  <c r="K122" i="1" s="1"/>
  <c r="K117" i="1"/>
  <c r="AN238" i="1"/>
  <c r="L135" i="1"/>
  <c r="AN277" i="1"/>
  <c r="L115" i="1"/>
  <c r="AN262" i="1"/>
  <c r="AO237" i="1"/>
  <c r="M134" i="1"/>
  <c r="M89" i="1"/>
  <c r="AO260" i="1"/>
  <c r="M114" i="1"/>
  <c r="BC234" i="1"/>
  <c r="AP235" i="1"/>
  <c r="AP283" i="1" s="1"/>
  <c r="AW218" i="1"/>
  <c r="AW280" i="1"/>
  <c r="AX216" i="1"/>
  <c r="AX261" i="1"/>
  <c r="AU269" i="3"/>
  <c r="BW220" i="1"/>
  <c r="CX220" i="1"/>
  <c r="BW220" i="3"/>
  <c r="AV220" i="1"/>
  <c r="T80" i="1" s="1"/>
  <c r="U141" i="3" l="1"/>
  <c r="CX266" i="1"/>
  <c r="CW273" i="1"/>
  <c r="CW268" i="1"/>
  <c r="CW269" i="1" s="1"/>
  <c r="BV268" i="1"/>
  <c r="BV269" i="1" s="1"/>
  <c r="BW266" i="1"/>
  <c r="BV273" i="1"/>
  <c r="S120" i="3"/>
  <c r="S121" i="3"/>
  <c r="BW267" i="3"/>
  <c r="AU269" i="1"/>
  <c r="CZ282" i="3"/>
  <c r="DA215" i="3"/>
  <c r="CZ217" i="3"/>
  <c r="CZ276" i="3"/>
  <c r="CZ279" i="3"/>
  <c r="CY219" i="3"/>
  <c r="CN249" i="3"/>
  <c r="CO247" i="3"/>
  <c r="CO248" i="3" s="1"/>
  <c r="CM252" i="3"/>
  <c r="CM256" i="3" s="1"/>
  <c r="CM271" i="3" s="1"/>
  <c r="CM272" i="3"/>
  <c r="CP281" i="3"/>
  <c r="CP246" i="3"/>
  <c r="CR236" i="3"/>
  <c r="CR259" i="3"/>
  <c r="DE235" i="3"/>
  <c r="CS234" i="3"/>
  <c r="CQ246" i="3"/>
  <c r="CQ281" i="3"/>
  <c r="CY266" i="3"/>
  <c r="CX273" i="3"/>
  <c r="CX268" i="3"/>
  <c r="CX269" i="3" s="1"/>
  <c r="AV267" i="1"/>
  <c r="V116" i="1"/>
  <c r="U78" i="1"/>
  <c r="U141" i="1"/>
  <c r="V77" i="1"/>
  <c r="AV273" i="3"/>
  <c r="AV268" i="3"/>
  <c r="AW266" i="3"/>
  <c r="BP246" i="3"/>
  <c r="BP281" i="3"/>
  <c r="CD235" i="3"/>
  <c r="BQ236" i="3"/>
  <c r="BQ259" i="3"/>
  <c r="BR234" i="3"/>
  <c r="BL252" i="3"/>
  <c r="BL256" i="3" s="1"/>
  <c r="BL271" i="3" s="1"/>
  <c r="BL272" i="3"/>
  <c r="BM249" i="3"/>
  <c r="BN247" i="3"/>
  <c r="BN248" i="3" s="1"/>
  <c r="BY217" i="3"/>
  <c r="BY279" i="3"/>
  <c r="BY276" i="3"/>
  <c r="BY282" i="3"/>
  <c r="BZ215" i="3"/>
  <c r="K100" i="3"/>
  <c r="L117" i="3"/>
  <c r="AN270" i="3"/>
  <c r="L122" i="3" s="1"/>
  <c r="AP259" i="3"/>
  <c r="AQ234" i="3"/>
  <c r="BC235" i="3"/>
  <c r="AP236" i="3"/>
  <c r="AO238" i="3"/>
  <c r="AO277" i="3"/>
  <c r="M135" i="3"/>
  <c r="AO262" i="3"/>
  <c r="M115" i="3"/>
  <c r="AN246" i="3"/>
  <c r="AN281" i="3"/>
  <c r="L90" i="3"/>
  <c r="E110" i="3"/>
  <c r="AG271" i="3"/>
  <c r="F105" i="3"/>
  <c r="AH252" i="3"/>
  <c r="AH272" i="3"/>
  <c r="G101" i="3"/>
  <c r="AI248" i="3"/>
  <c r="U78" i="3"/>
  <c r="AX217" i="3"/>
  <c r="V77" i="3"/>
  <c r="AX279" i="3"/>
  <c r="V116" i="3"/>
  <c r="AX276" i="3"/>
  <c r="AX282" i="3"/>
  <c r="AY215" i="3"/>
  <c r="CM252" i="1"/>
  <c r="CM256" i="1" s="1"/>
  <c r="CM271" i="1" s="1"/>
  <c r="CM272" i="1"/>
  <c r="CN249" i="1"/>
  <c r="CO247" i="1"/>
  <c r="CO248" i="1" s="1"/>
  <c r="CQ238" i="1"/>
  <c r="CQ277" i="1"/>
  <c r="DE235" i="1"/>
  <c r="CR236" i="1"/>
  <c r="CR259" i="1"/>
  <c r="CS234" i="1"/>
  <c r="CZ217" i="1"/>
  <c r="CZ279" i="1"/>
  <c r="CZ276" i="1"/>
  <c r="CZ282" i="1"/>
  <c r="DA215" i="1"/>
  <c r="BL252" i="1"/>
  <c r="BL256" i="1" s="1"/>
  <c r="BL271" i="1" s="1"/>
  <c r="BL272" i="1"/>
  <c r="BM249" i="1"/>
  <c r="BN247" i="1"/>
  <c r="BN248" i="1" s="1"/>
  <c r="BP281" i="1"/>
  <c r="BP246" i="1"/>
  <c r="CD235" i="1"/>
  <c r="BQ236" i="1"/>
  <c r="BQ259" i="1"/>
  <c r="BR234" i="1"/>
  <c r="BY217" i="1"/>
  <c r="BY279" i="1"/>
  <c r="BY276" i="1"/>
  <c r="BY282" i="1"/>
  <c r="BZ215" i="1"/>
  <c r="AG271" i="1"/>
  <c r="E110" i="1"/>
  <c r="AH272" i="1"/>
  <c r="AH252" i="1"/>
  <c r="F105" i="1"/>
  <c r="AI248" i="1"/>
  <c r="G101" i="1"/>
  <c r="AN281" i="1"/>
  <c r="L143" i="1" s="1"/>
  <c r="AN246" i="1"/>
  <c r="L100" i="1" s="1"/>
  <c r="L90" i="1"/>
  <c r="AN270" i="1"/>
  <c r="L122" i="1" s="1"/>
  <c r="L117" i="1"/>
  <c r="AO238" i="1"/>
  <c r="M135" i="1"/>
  <c r="AO277" i="1"/>
  <c r="M115" i="1"/>
  <c r="AO262" i="1"/>
  <c r="BC235" i="1"/>
  <c r="AP236" i="1"/>
  <c r="AP259" i="1"/>
  <c r="AQ234" i="1"/>
  <c r="AX217" i="1"/>
  <c r="AX279" i="1"/>
  <c r="AX276" i="1"/>
  <c r="AX282" i="1"/>
  <c r="AY215" i="1"/>
  <c r="BX219" i="3"/>
  <c r="CY219" i="1"/>
  <c r="AW219" i="3"/>
  <c r="BX219" i="1"/>
  <c r="AW219" i="1"/>
  <c r="L143" i="3" l="1"/>
  <c r="L100" i="3"/>
  <c r="S120" i="1"/>
  <c r="CX267" i="1"/>
  <c r="S121" i="1"/>
  <c r="BW267" i="1"/>
  <c r="BX266" i="3"/>
  <c r="BW273" i="3"/>
  <c r="BW268" i="3"/>
  <c r="BW269" i="3" s="1"/>
  <c r="DA261" i="3"/>
  <c r="DA216" i="3"/>
  <c r="CZ218" i="3"/>
  <c r="CZ280" i="3"/>
  <c r="CY220" i="3"/>
  <c r="CN252" i="3"/>
  <c r="CN256" i="3" s="1"/>
  <c r="CN271" i="3" s="1"/>
  <c r="CN272" i="3"/>
  <c r="CO249" i="3"/>
  <c r="CP247" i="3"/>
  <c r="CP248" i="3" s="1"/>
  <c r="DE236" i="3"/>
  <c r="CR237" i="3"/>
  <c r="CR260" i="3"/>
  <c r="DE259" i="3"/>
  <c r="CY267" i="3"/>
  <c r="AW266" i="1"/>
  <c r="AV273" i="1"/>
  <c r="AV268" i="1"/>
  <c r="V140" i="1"/>
  <c r="V144" i="1"/>
  <c r="V142" i="1"/>
  <c r="U83" i="1"/>
  <c r="U79" i="1"/>
  <c r="AV269" i="3"/>
  <c r="CD236" i="3"/>
  <c r="BQ237" i="3"/>
  <c r="BQ260" i="3"/>
  <c r="CD259" i="3"/>
  <c r="BM252" i="3"/>
  <c r="BM256" i="3" s="1"/>
  <c r="BM271" i="3" s="1"/>
  <c r="BM272" i="3"/>
  <c r="BN249" i="3"/>
  <c r="BO247" i="3"/>
  <c r="BO248" i="3" s="1"/>
  <c r="BY218" i="3"/>
  <c r="BY280" i="3"/>
  <c r="BZ216" i="3"/>
  <c r="BZ261" i="3"/>
  <c r="AP260" i="3"/>
  <c r="N114" i="3"/>
  <c r="BC259" i="3"/>
  <c r="AB114" i="3" s="1"/>
  <c r="BC236" i="3"/>
  <c r="AP237" i="3"/>
  <c r="N134" i="3"/>
  <c r="N89" i="3"/>
  <c r="AO246" i="3"/>
  <c r="AO281" i="3"/>
  <c r="M143" i="3" s="1"/>
  <c r="M90" i="3"/>
  <c r="M117" i="3"/>
  <c r="AO270" i="3"/>
  <c r="M122" i="3" s="1"/>
  <c r="E123" i="3"/>
  <c r="F108" i="3"/>
  <c r="AH256" i="3"/>
  <c r="G102" i="3"/>
  <c r="AI291" i="3"/>
  <c r="AI249" i="3"/>
  <c r="AJ247" i="3"/>
  <c r="AX218" i="3"/>
  <c r="AX280" i="3"/>
  <c r="V140" i="3"/>
  <c r="V142" i="3"/>
  <c r="V144" i="3"/>
  <c r="AY216" i="3"/>
  <c r="AY261" i="3"/>
  <c r="CN252" i="1"/>
  <c r="CN256" i="1" s="1"/>
  <c r="CN271" i="1" s="1"/>
  <c r="CN272" i="1"/>
  <c r="CO249" i="1"/>
  <c r="CP247" i="1"/>
  <c r="CP248" i="1" s="1"/>
  <c r="CQ281" i="1"/>
  <c r="CQ246" i="1"/>
  <c r="DE236" i="1"/>
  <c r="CR237" i="1"/>
  <c r="CR260" i="1"/>
  <c r="DE259" i="1"/>
  <c r="CZ218" i="1"/>
  <c r="CZ280" i="1"/>
  <c r="DA216" i="1"/>
  <c r="DA261" i="1"/>
  <c r="BM252" i="1"/>
  <c r="BM256" i="1" s="1"/>
  <c r="BM271" i="1" s="1"/>
  <c r="BM272" i="1"/>
  <c r="BO247" i="1"/>
  <c r="BO248" i="1" s="1"/>
  <c r="BN249" i="1"/>
  <c r="CD236" i="1"/>
  <c r="BQ237" i="1"/>
  <c r="BQ260" i="1"/>
  <c r="CD259" i="1"/>
  <c r="BY218" i="1"/>
  <c r="BY280" i="1"/>
  <c r="BZ216" i="1"/>
  <c r="BZ261" i="1"/>
  <c r="E123" i="1"/>
  <c r="F108" i="1"/>
  <c r="AH256" i="1"/>
  <c r="AI291" i="1"/>
  <c r="AI249" i="1"/>
  <c r="G102" i="1"/>
  <c r="AJ247" i="1"/>
  <c r="AO281" i="1"/>
  <c r="AO246" i="1"/>
  <c r="M90" i="1"/>
  <c r="AO270" i="1"/>
  <c r="M122" i="1" s="1"/>
  <c r="M117" i="1"/>
  <c r="BC236" i="1"/>
  <c r="AP237" i="1"/>
  <c r="N89" i="1"/>
  <c r="N134" i="1"/>
  <c r="AP260" i="1"/>
  <c r="BC259" i="1"/>
  <c r="N114" i="1"/>
  <c r="AX218" i="1"/>
  <c r="AX280" i="1"/>
  <c r="AY216" i="1"/>
  <c r="AY261" i="1"/>
  <c r="BX220" i="3"/>
  <c r="CY220" i="1"/>
  <c r="AW220" i="3"/>
  <c r="U83" i="3"/>
  <c r="U79" i="3"/>
  <c r="AW267" i="3"/>
  <c r="BX220" i="1"/>
  <c r="AW220" i="1"/>
  <c r="U80" i="1" s="1"/>
  <c r="U80" i="3" l="1"/>
  <c r="CY266" i="1"/>
  <c r="CX273" i="1"/>
  <c r="CX268" i="1"/>
  <c r="CX269" i="1" s="1"/>
  <c r="BX266" i="1"/>
  <c r="BW268" i="1"/>
  <c r="BW269" i="1" s="1"/>
  <c r="BW273" i="1"/>
  <c r="T121" i="3"/>
  <c r="T120" i="3"/>
  <c r="V141" i="3"/>
  <c r="BX267" i="3"/>
  <c r="DA276" i="3"/>
  <c r="DA282" i="3"/>
  <c r="DB215" i="3"/>
  <c r="DA217" i="3"/>
  <c r="DA279" i="3"/>
  <c r="CZ219" i="3"/>
  <c r="CO252" i="3"/>
  <c r="CO256" i="3" s="1"/>
  <c r="CO271" i="3" s="1"/>
  <c r="CO272" i="3"/>
  <c r="CP249" i="3"/>
  <c r="CQ247" i="3"/>
  <c r="CQ248" i="3" s="1"/>
  <c r="DE237" i="3"/>
  <c r="CR238" i="3"/>
  <c r="CR277" i="3"/>
  <c r="DE277" i="3" s="1"/>
  <c r="CR262" i="3"/>
  <c r="DE260" i="3"/>
  <c r="AV269" i="1"/>
  <c r="CZ266" i="3"/>
  <c r="CY273" i="3"/>
  <c r="CY268" i="3"/>
  <c r="CY269" i="3" s="1"/>
  <c r="AW267" i="1"/>
  <c r="M143" i="1"/>
  <c r="AB114" i="1"/>
  <c r="V78" i="1"/>
  <c r="V141" i="1"/>
  <c r="W77" i="1"/>
  <c r="W116" i="1"/>
  <c r="AX219" i="3"/>
  <c r="BY219" i="3"/>
  <c r="CD237" i="3"/>
  <c r="BQ238" i="3"/>
  <c r="BQ277" i="3"/>
  <c r="CD277" i="3" s="1"/>
  <c r="BQ262" i="3"/>
  <c r="CD260" i="3"/>
  <c r="BN252" i="3"/>
  <c r="BN256" i="3" s="1"/>
  <c r="BN271" i="3" s="1"/>
  <c r="BN272" i="3"/>
  <c r="BO249" i="3"/>
  <c r="BP247" i="3"/>
  <c r="BP248" i="3" s="1"/>
  <c r="BZ217" i="3"/>
  <c r="BZ279" i="3"/>
  <c r="BZ276" i="3"/>
  <c r="BZ282" i="3"/>
  <c r="CA215" i="3"/>
  <c r="AP262" i="3"/>
  <c r="BC260" i="3"/>
  <c r="N115" i="3"/>
  <c r="AB134" i="3"/>
  <c r="AB89" i="3"/>
  <c r="BC237" i="3"/>
  <c r="AP238" i="3"/>
  <c r="AP277" i="3"/>
  <c r="BC277" i="3" s="1"/>
  <c r="N135" i="3"/>
  <c r="M100" i="3"/>
  <c r="F110" i="3"/>
  <c r="AH271" i="3"/>
  <c r="G105" i="3"/>
  <c r="AI252" i="3"/>
  <c r="AI272" i="3"/>
  <c r="H101" i="3"/>
  <c r="AJ248" i="3"/>
  <c r="V78" i="3"/>
  <c r="AY217" i="3"/>
  <c r="W77" i="3"/>
  <c r="AY279" i="3"/>
  <c r="W116" i="3"/>
  <c r="AY276" i="3"/>
  <c r="AY282" i="3"/>
  <c r="AZ215" i="3"/>
  <c r="CO252" i="1"/>
  <c r="CO256" i="1" s="1"/>
  <c r="CO271" i="1" s="1"/>
  <c r="CO272" i="1"/>
  <c r="CP249" i="1"/>
  <c r="CQ247" i="1"/>
  <c r="CQ248" i="1" s="1"/>
  <c r="DE237" i="1"/>
  <c r="CR238" i="1"/>
  <c r="CR277" i="1"/>
  <c r="DE277" i="1" s="1"/>
  <c r="CR262" i="1"/>
  <c r="DE260" i="1"/>
  <c r="DA217" i="1"/>
  <c r="DA279" i="1"/>
  <c r="DA276" i="1"/>
  <c r="DA282" i="1"/>
  <c r="DB215" i="1"/>
  <c r="BO249" i="1"/>
  <c r="BP247" i="1"/>
  <c r="BP248" i="1" s="1"/>
  <c r="BN252" i="1"/>
  <c r="BN256" i="1" s="1"/>
  <c r="BN271" i="1" s="1"/>
  <c r="BN272" i="1"/>
  <c r="CD237" i="1"/>
  <c r="BQ238" i="1"/>
  <c r="BQ277" i="1"/>
  <c r="CD277" i="1" s="1"/>
  <c r="BQ262" i="1"/>
  <c r="CD260" i="1"/>
  <c r="BZ217" i="1"/>
  <c r="BZ279" i="1"/>
  <c r="BZ276" i="1"/>
  <c r="BZ282" i="1"/>
  <c r="CA215" i="1"/>
  <c r="AH271" i="1"/>
  <c r="F110" i="1"/>
  <c r="G105" i="1"/>
  <c r="AI252" i="1"/>
  <c r="AI272" i="1"/>
  <c r="AJ248" i="1"/>
  <c r="H101" i="1"/>
  <c r="M100" i="1"/>
  <c r="AB134" i="1"/>
  <c r="AB89" i="1"/>
  <c r="BC237" i="1"/>
  <c r="AP238" i="1"/>
  <c r="N135" i="1"/>
  <c r="AP277" i="1"/>
  <c r="BC277" i="1" s="1"/>
  <c r="N115" i="1"/>
  <c r="AP262" i="1"/>
  <c r="BC260" i="1"/>
  <c r="AY217" i="1"/>
  <c r="AY279" i="1"/>
  <c r="AY276" i="1"/>
  <c r="AY282" i="1"/>
  <c r="AZ215" i="1"/>
  <c r="AX266" i="3"/>
  <c r="AW273" i="3"/>
  <c r="AW268" i="3"/>
  <c r="BY219" i="1"/>
  <c r="CZ219" i="1"/>
  <c r="AX219" i="1"/>
  <c r="T120" i="1" l="1"/>
  <c r="CY267" i="1"/>
  <c r="BX267" i="1"/>
  <c r="T121" i="1"/>
  <c r="AB115" i="3"/>
  <c r="AB135" i="3"/>
  <c r="BY266" i="3"/>
  <c r="BX273" i="3"/>
  <c r="BX268" i="3"/>
  <c r="BX269" i="3" s="1"/>
  <c r="DB216" i="3"/>
  <c r="DB261" i="3"/>
  <c r="DA218" i="3"/>
  <c r="DA280" i="3"/>
  <c r="CZ220" i="3"/>
  <c r="CP252" i="3"/>
  <c r="CP256" i="3" s="1"/>
  <c r="CP271" i="3" s="1"/>
  <c r="CP272" i="3"/>
  <c r="CQ249" i="3"/>
  <c r="CR247" i="3"/>
  <c r="DE238" i="3"/>
  <c r="DE281" i="3"/>
  <c r="CR281" i="3"/>
  <c r="CR246" i="3"/>
  <c r="DE246" i="3" s="1"/>
  <c r="DE262" i="3"/>
  <c r="CR270" i="3"/>
  <c r="DE270" i="3" s="1"/>
  <c r="CZ267" i="3"/>
  <c r="BY220" i="3"/>
  <c r="AX266" i="1"/>
  <c r="AW268" i="1"/>
  <c r="AW273" i="1"/>
  <c r="AB135" i="1"/>
  <c r="AB115" i="1"/>
  <c r="W140" i="1"/>
  <c r="W144" i="1"/>
  <c r="W142" i="1"/>
  <c r="V83" i="1"/>
  <c r="V79" i="1"/>
  <c r="V79" i="3"/>
  <c r="V83" i="3"/>
  <c r="AX220" i="3"/>
  <c r="AX267" i="3"/>
  <c r="CD238" i="3"/>
  <c r="CD281" i="3"/>
  <c r="BQ281" i="3"/>
  <c r="BQ246" i="3"/>
  <c r="CD246" i="3" s="1"/>
  <c r="CD262" i="3"/>
  <c r="BQ270" i="3"/>
  <c r="CD270" i="3" s="1"/>
  <c r="BO252" i="3"/>
  <c r="BO256" i="3" s="1"/>
  <c r="BO271" i="3" s="1"/>
  <c r="BO272" i="3"/>
  <c r="BP249" i="3"/>
  <c r="BQ247" i="3"/>
  <c r="BZ218" i="3"/>
  <c r="BZ280" i="3"/>
  <c r="CA216" i="3"/>
  <c r="CA261" i="3"/>
  <c r="N117" i="3"/>
  <c r="BC262" i="3"/>
  <c r="AP270" i="3"/>
  <c r="BC238" i="3"/>
  <c r="BC281" i="3"/>
  <c r="AB143" i="3" s="1"/>
  <c r="AP281" i="3"/>
  <c r="AP246" i="3"/>
  <c r="N90" i="3"/>
  <c r="F123" i="3"/>
  <c r="G108" i="3"/>
  <c r="AI256" i="3"/>
  <c r="H102" i="3"/>
  <c r="AJ291" i="3"/>
  <c r="AJ249" i="3"/>
  <c r="AK247" i="3"/>
  <c r="AY218" i="3"/>
  <c r="AY280" i="3"/>
  <c r="W140" i="3"/>
  <c r="W142" i="3"/>
  <c r="W144" i="3"/>
  <c r="AZ216" i="3"/>
  <c r="AZ261" i="3"/>
  <c r="CP252" i="1"/>
  <c r="CP256" i="1" s="1"/>
  <c r="CP271" i="1" s="1"/>
  <c r="CP272" i="1"/>
  <c r="CQ249" i="1"/>
  <c r="CR247" i="1"/>
  <c r="DE238" i="1"/>
  <c r="DE281" i="1"/>
  <c r="CR281" i="1"/>
  <c r="CR246" i="1"/>
  <c r="DE246" i="1" s="1"/>
  <c r="DE262" i="1"/>
  <c r="CR270" i="1"/>
  <c r="DE270" i="1" s="1"/>
  <c r="DA218" i="1"/>
  <c r="DA280" i="1"/>
  <c r="DB216" i="1"/>
  <c r="DB261" i="1"/>
  <c r="BO252" i="1"/>
  <c r="BO256" i="1" s="1"/>
  <c r="BO271" i="1" s="1"/>
  <c r="BO272" i="1"/>
  <c r="BQ247" i="1"/>
  <c r="BP249" i="1"/>
  <c r="CD238" i="1"/>
  <c r="CD281" i="1"/>
  <c r="BQ281" i="1"/>
  <c r="BQ246" i="1"/>
  <c r="CD246" i="1" s="1"/>
  <c r="CD262" i="1"/>
  <c r="BQ270" i="1"/>
  <c r="CD270" i="1" s="1"/>
  <c r="BZ218" i="1"/>
  <c r="BZ280" i="1"/>
  <c r="CA216" i="1"/>
  <c r="CA261" i="1"/>
  <c r="F123" i="1"/>
  <c r="AI256" i="1"/>
  <c r="G108" i="1"/>
  <c r="AJ291" i="1"/>
  <c r="AK247" i="1"/>
  <c r="AJ249" i="1"/>
  <c r="H102" i="1"/>
  <c r="BC238" i="1"/>
  <c r="BC281" i="1"/>
  <c r="AP281" i="1"/>
  <c r="AP246" i="1"/>
  <c r="N90" i="1"/>
  <c r="BC262" i="1"/>
  <c r="AP270" i="1"/>
  <c r="N117" i="1"/>
  <c r="AY218" i="1"/>
  <c r="AY280" i="1"/>
  <c r="AZ216" i="1"/>
  <c r="AZ261" i="1"/>
  <c r="AW269" i="3"/>
  <c r="BY220" i="1"/>
  <c r="CZ220" i="1"/>
  <c r="AX220" i="1"/>
  <c r="V80" i="1" s="1"/>
  <c r="N143" i="3" l="1"/>
  <c r="W141" i="3"/>
  <c r="V80" i="3"/>
  <c r="AB117" i="3"/>
  <c r="AB90" i="3"/>
  <c r="CZ266" i="1"/>
  <c r="CY268" i="1"/>
  <c r="CY269" i="1" s="1"/>
  <c r="CY273" i="1"/>
  <c r="BY266" i="1"/>
  <c r="BX268" i="1"/>
  <c r="BX269" i="1" s="1"/>
  <c r="BX273" i="1"/>
  <c r="U121" i="3"/>
  <c r="U120" i="3"/>
  <c r="BY267" i="3"/>
  <c r="DB217" i="3"/>
  <c r="DB279" i="3"/>
  <c r="DB276" i="3"/>
  <c r="DB282" i="3"/>
  <c r="DC215" i="3"/>
  <c r="DA219" i="3"/>
  <c r="CQ252" i="3"/>
  <c r="CQ256" i="3" s="1"/>
  <c r="CQ271" i="3" s="1"/>
  <c r="CQ272" i="3"/>
  <c r="DE247" i="3"/>
  <c r="CR248" i="3"/>
  <c r="AW269" i="1"/>
  <c r="DA266" i="3"/>
  <c r="CZ273" i="3"/>
  <c r="CZ268" i="3"/>
  <c r="CZ269" i="3" s="1"/>
  <c r="AX267" i="1"/>
  <c r="AB90" i="1"/>
  <c r="AB143" i="1"/>
  <c r="N143" i="1"/>
  <c r="AB117" i="1"/>
  <c r="W78" i="1"/>
  <c r="W141" i="1"/>
  <c r="X77" i="1"/>
  <c r="X116" i="1"/>
  <c r="AX268" i="3"/>
  <c r="AX273" i="3"/>
  <c r="AY266" i="3"/>
  <c r="BP252" i="3"/>
  <c r="BP256" i="3" s="1"/>
  <c r="BP271" i="3" s="1"/>
  <c r="BP272" i="3"/>
  <c r="CD247" i="3"/>
  <c r="BQ248" i="3"/>
  <c r="CA217" i="3"/>
  <c r="CA279" i="3"/>
  <c r="CA276" i="3"/>
  <c r="CA282" i="3"/>
  <c r="CB215" i="3"/>
  <c r="N122" i="3"/>
  <c r="BC270" i="3"/>
  <c r="AB122" i="3" s="1"/>
  <c r="BC246" i="3"/>
  <c r="AB100" i="3" s="1"/>
  <c r="N100" i="3"/>
  <c r="G110" i="3"/>
  <c r="AI271" i="3"/>
  <c r="H105" i="3"/>
  <c r="AJ252" i="3"/>
  <c r="AJ272" i="3"/>
  <c r="I101" i="3"/>
  <c r="AK248" i="3"/>
  <c r="W78" i="3"/>
  <c r="AZ217" i="3"/>
  <c r="X77" i="3"/>
  <c r="AZ279" i="3"/>
  <c r="X116" i="3"/>
  <c r="AZ276" i="3"/>
  <c r="AZ282" i="3"/>
  <c r="BA215" i="3"/>
  <c r="CQ252" i="1"/>
  <c r="CQ256" i="1" s="1"/>
  <c r="CQ271" i="1" s="1"/>
  <c r="CQ272" i="1"/>
  <c r="DE247" i="1"/>
  <c r="CR248" i="1"/>
  <c r="DB217" i="1"/>
  <c r="DB279" i="1"/>
  <c r="DB276" i="1"/>
  <c r="DB282" i="1"/>
  <c r="DC215" i="1"/>
  <c r="CD247" i="1"/>
  <c r="BQ248" i="1"/>
  <c r="BP252" i="1"/>
  <c r="BP256" i="1" s="1"/>
  <c r="BP271" i="1" s="1"/>
  <c r="BP272" i="1"/>
  <c r="CA217" i="1"/>
  <c r="CA279" i="1"/>
  <c r="CA276" i="1"/>
  <c r="CA282" i="1"/>
  <c r="CB215" i="1"/>
  <c r="AI271" i="1"/>
  <c r="G110" i="1"/>
  <c r="AK248" i="1"/>
  <c r="I101" i="1"/>
  <c r="AJ252" i="1"/>
  <c r="AJ272" i="1"/>
  <c r="H105" i="1"/>
  <c r="BC246" i="1"/>
  <c r="AB100" i="1" s="1"/>
  <c r="N100" i="1"/>
  <c r="BC270" i="1"/>
  <c r="AB122" i="1" s="1"/>
  <c r="N122" i="1"/>
  <c r="AZ217" i="1"/>
  <c r="AZ279" i="1"/>
  <c r="AZ276" i="1"/>
  <c r="AZ282" i="1"/>
  <c r="BA215" i="1"/>
  <c r="DA219" i="1"/>
  <c r="BZ219" i="1"/>
  <c r="AY219" i="3"/>
  <c r="AY219" i="1"/>
  <c r="BZ219" i="3"/>
  <c r="U120" i="1" l="1"/>
  <c r="CZ267" i="1"/>
  <c r="BY267" i="1"/>
  <c r="U121" i="1"/>
  <c r="BY268" i="3"/>
  <c r="BY269" i="3" s="1"/>
  <c r="BZ266" i="3"/>
  <c r="BY273" i="3"/>
  <c r="DB280" i="3"/>
  <c r="DC216" i="3"/>
  <c r="DB218" i="3"/>
  <c r="DC261" i="3"/>
  <c r="DA220" i="3"/>
  <c r="DE248" i="3"/>
  <c r="CR249" i="3"/>
  <c r="CS247" i="3"/>
  <c r="DA267" i="3"/>
  <c r="AY266" i="1"/>
  <c r="AX273" i="1"/>
  <c r="AX268" i="1"/>
  <c r="X140" i="1"/>
  <c r="X144" i="1"/>
  <c r="X142" i="1"/>
  <c r="W83" i="1"/>
  <c r="W79" i="1"/>
  <c r="AX269" i="3"/>
  <c r="V121" i="3" s="1"/>
  <c r="V120" i="3"/>
  <c r="CD248" i="3"/>
  <c r="BQ249" i="3"/>
  <c r="BR247" i="3"/>
  <c r="CA218" i="3"/>
  <c r="CA280" i="3"/>
  <c r="CB216" i="3"/>
  <c r="CB261" i="3"/>
  <c r="G123" i="3"/>
  <c r="H108" i="3"/>
  <c r="AJ256" i="3"/>
  <c r="I102" i="3"/>
  <c r="AK291" i="3"/>
  <c r="AK249" i="3"/>
  <c r="AL247" i="3"/>
  <c r="AZ218" i="3"/>
  <c r="AZ280" i="3"/>
  <c r="X140" i="3"/>
  <c r="X142" i="3"/>
  <c r="X144" i="3"/>
  <c r="BA216" i="3"/>
  <c r="BA261" i="3"/>
  <c r="DE248" i="1"/>
  <c r="CR249" i="1"/>
  <c r="CS247" i="1"/>
  <c r="DB218" i="1"/>
  <c r="DB280" i="1"/>
  <c r="DC216" i="1"/>
  <c r="DC261" i="1"/>
  <c r="CD248" i="1"/>
  <c r="BQ249" i="1"/>
  <c r="BR247" i="1"/>
  <c r="CA218" i="1"/>
  <c r="CA280" i="1"/>
  <c r="CB216" i="1"/>
  <c r="CB261" i="1"/>
  <c r="G123" i="1"/>
  <c r="AK291" i="1"/>
  <c r="AK249" i="1"/>
  <c r="I102" i="1"/>
  <c r="AL247" i="1"/>
  <c r="AJ256" i="1"/>
  <c r="H108" i="1"/>
  <c r="AZ218" i="1"/>
  <c r="AZ280" i="1"/>
  <c r="BA216" i="1"/>
  <c r="BA261" i="1"/>
  <c r="DA220" i="1"/>
  <c r="BZ220" i="1"/>
  <c r="AY267" i="3"/>
  <c r="AY220" i="3"/>
  <c r="W83" i="3"/>
  <c r="W79" i="3"/>
  <c r="AY220" i="1"/>
  <c r="W80" i="1" s="1"/>
  <c r="BZ220" i="3"/>
  <c r="X141" i="3" l="1"/>
  <c r="CZ268" i="1"/>
  <c r="CZ269" i="1" s="1"/>
  <c r="CZ273" i="1"/>
  <c r="DA266" i="1"/>
  <c r="BZ266" i="1"/>
  <c r="BY273" i="1"/>
  <c r="BY268" i="1"/>
  <c r="BY269" i="1" s="1"/>
  <c r="W80" i="3"/>
  <c r="BZ267" i="3"/>
  <c r="DC276" i="3"/>
  <c r="DC282" i="3"/>
  <c r="DD215" i="3"/>
  <c r="DC217" i="3"/>
  <c r="DC279" i="3"/>
  <c r="DB219" i="3"/>
  <c r="DE249" i="3"/>
  <c r="CR252" i="3"/>
  <c r="CR272" i="3"/>
  <c r="DE272" i="3" s="1"/>
  <c r="E287" i="3"/>
  <c r="AX269" i="1"/>
  <c r="DB266" i="3"/>
  <c r="DA273" i="3"/>
  <c r="DA268" i="3"/>
  <c r="DA269" i="3" s="1"/>
  <c r="AY267" i="1"/>
  <c r="X78" i="1"/>
  <c r="X141" i="1"/>
  <c r="Y77" i="1"/>
  <c r="Y116" i="1"/>
  <c r="AZ219" i="3"/>
  <c r="CD249" i="3"/>
  <c r="BQ252" i="3"/>
  <c r="BQ272" i="3"/>
  <c r="CD272" i="3" s="1"/>
  <c r="D287" i="3"/>
  <c r="CB217" i="3"/>
  <c r="CB279" i="3"/>
  <c r="CB276" i="3"/>
  <c r="CB282" i="3"/>
  <c r="CC215" i="3"/>
  <c r="H110" i="3"/>
  <c r="AJ271" i="3"/>
  <c r="I105" i="3"/>
  <c r="AK252" i="3"/>
  <c r="AK272" i="3"/>
  <c r="J101" i="3"/>
  <c r="AL248" i="3"/>
  <c r="X78" i="3"/>
  <c r="BA217" i="3"/>
  <c r="Y77" i="3"/>
  <c r="BA279" i="3"/>
  <c r="Y116" i="3"/>
  <c r="BA276" i="3"/>
  <c r="BA282" i="3"/>
  <c r="BB215" i="3"/>
  <c r="E287" i="1"/>
  <c r="DE249" i="1"/>
  <c r="CR252" i="1"/>
  <c r="CR272" i="1"/>
  <c r="DE272" i="1" s="1"/>
  <c r="DC217" i="1"/>
  <c r="DC279" i="1"/>
  <c r="DC276" i="1"/>
  <c r="DC282" i="1"/>
  <c r="DD215" i="1"/>
  <c r="D287" i="1"/>
  <c r="CD249" i="1"/>
  <c r="BQ252" i="1"/>
  <c r="BQ272" i="1"/>
  <c r="CD272" i="1" s="1"/>
  <c r="CB217" i="1"/>
  <c r="CB279" i="1"/>
  <c r="CB276" i="1"/>
  <c r="CB282" i="1"/>
  <c r="CC215" i="1"/>
  <c r="AK252" i="1"/>
  <c r="AK272" i="1"/>
  <c r="I105" i="1"/>
  <c r="AL248" i="1"/>
  <c r="J101" i="1"/>
  <c r="AJ271" i="1"/>
  <c r="H110" i="1"/>
  <c r="BA217" i="1"/>
  <c r="BA279" i="1"/>
  <c r="BA276" i="1"/>
  <c r="BA282" i="1"/>
  <c r="BB215" i="1"/>
  <c r="AZ266" i="3"/>
  <c r="AY273" i="3"/>
  <c r="AY268" i="3"/>
  <c r="DB219" i="1"/>
  <c r="CA219" i="1"/>
  <c r="AZ219" i="1"/>
  <c r="CA219" i="3"/>
  <c r="V120" i="1" l="1"/>
  <c r="DA267" i="1"/>
  <c r="BZ267" i="1"/>
  <c r="V121" i="1"/>
  <c r="CA266" i="3"/>
  <c r="BZ273" i="3"/>
  <c r="BZ268" i="3"/>
  <c r="BZ269" i="3" s="1"/>
  <c r="DF215" i="3"/>
  <c r="DD261" i="3"/>
  <c r="DD216" i="3"/>
  <c r="DC218" i="3"/>
  <c r="DC280" i="3"/>
  <c r="DB220" i="3"/>
  <c r="DE252" i="3"/>
  <c r="CR256" i="3"/>
  <c r="DB267" i="3"/>
  <c r="AZ266" i="1"/>
  <c r="AY273" i="1"/>
  <c r="AY268" i="1"/>
  <c r="Y140" i="1"/>
  <c r="Y144" i="1"/>
  <c r="Y142" i="1"/>
  <c r="X83" i="1"/>
  <c r="X79" i="1"/>
  <c r="X79" i="3"/>
  <c r="X83" i="3"/>
  <c r="AZ220" i="3"/>
  <c r="AZ267" i="3"/>
  <c r="CD252" i="3"/>
  <c r="BQ256" i="3"/>
  <c r="CB218" i="3"/>
  <c r="CB280" i="3"/>
  <c r="CE215" i="3"/>
  <c r="CC216" i="3"/>
  <c r="CC261" i="3"/>
  <c r="H123" i="3"/>
  <c r="I108" i="3"/>
  <c r="AK256" i="3"/>
  <c r="J102" i="3"/>
  <c r="AL291" i="3"/>
  <c r="AL249" i="3"/>
  <c r="AM247" i="3"/>
  <c r="BA218" i="3"/>
  <c r="BA280" i="3"/>
  <c r="Y140" i="3"/>
  <c r="Y142" i="3"/>
  <c r="Y144" i="3"/>
  <c r="BD215" i="3"/>
  <c r="BB216" i="3"/>
  <c r="BB261" i="3"/>
  <c r="DE252" i="1"/>
  <c r="CR256" i="1"/>
  <c r="DC218" i="1"/>
  <c r="DC280" i="1"/>
  <c r="DF215" i="1"/>
  <c r="DD216" i="1"/>
  <c r="DD261" i="1"/>
  <c r="R45" i="1" s="1"/>
  <c r="CD252" i="1"/>
  <c r="BQ256" i="1"/>
  <c r="CB218" i="1"/>
  <c r="CB280" i="1"/>
  <c r="CE215" i="1"/>
  <c r="CC216" i="1"/>
  <c r="CC261" i="1"/>
  <c r="K45" i="1" s="1"/>
  <c r="AK256" i="1"/>
  <c r="I108" i="1"/>
  <c r="AL291" i="1"/>
  <c r="AL249" i="1"/>
  <c r="J102" i="1"/>
  <c r="AM247" i="1"/>
  <c r="H123" i="1"/>
  <c r="BA218" i="1"/>
  <c r="BA280" i="1"/>
  <c r="BD215" i="1"/>
  <c r="BB216" i="1"/>
  <c r="BB261" i="1"/>
  <c r="AY269" i="3"/>
  <c r="DB220" i="1"/>
  <c r="CA220" i="1"/>
  <c r="AZ220" i="1"/>
  <c r="X80" i="1" s="1"/>
  <c r="CA220" i="3"/>
  <c r="Y141" i="3" l="1"/>
  <c r="Y78" i="1"/>
  <c r="Y141" i="1"/>
  <c r="Z77" i="1"/>
  <c r="AY269" i="1"/>
  <c r="DA268" i="1"/>
  <c r="DA269" i="1" s="1"/>
  <c r="DB266" i="1"/>
  <c r="DA273" i="1"/>
  <c r="CA266" i="1"/>
  <c r="BZ268" i="1"/>
  <c r="BZ269" i="1" s="1"/>
  <c r="BZ273" i="1"/>
  <c r="X80" i="3"/>
  <c r="W121" i="3"/>
  <c r="W120" i="3"/>
  <c r="CA267" i="3"/>
  <c r="DC219" i="3"/>
  <c r="R45" i="3"/>
  <c r="DF261" i="3"/>
  <c r="DD276" i="3"/>
  <c r="DF276" i="3" s="1"/>
  <c r="DD282" i="3"/>
  <c r="DF282" i="3"/>
  <c r="DF216" i="3"/>
  <c r="DD217" i="3"/>
  <c r="DD279" i="3"/>
  <c r="DE256" i="3"/>
  <c r="CR271" i="3"/>
  <c r="DE271" i="3" s="1"/>
  <c r="DC266" i="3"/>
  <c r="DB273" i="3"/>
  <c r="DB268" i="3"/>
  <c r="DB269" i="3" s="1"/>
  <c r="AZ267" i="1"/>
  <c r="Z116" i="1"/>
  <c r="I11" i="1"/>
  <c r="C45" i="1"/>
  <c r="AZ268" i="3"/>
  <c r="AZ273" i="3"/>
  <c r="BA266" i="3"/>
  <c r="CD256" i="3"/>
  <c r="BQ271" i="3"/>
  <c r="CD271" i="3" s="1"/>
  <c r="CE216" i="3"/>
  <c r="CC217" i="3"/>
  <c r="CC279" i="3"/>
  <c r="K45" i="3"/>
  <c r="CE261" i="3"/>
  <c r="CC276" i="3"/>
  <c r="CE276" i="3" s="1"/>
  <c r="CC282" i="3"/>
  <c r="CE282" i="3"/>
  <c r="I110" i="3"/>
  <c r="AK271" i="3"/>
  <c r="J105" i="3"/>
  <c r="AL252" i="3"/>
  <c r="AL272" i="3"/>
  <c r="K101" i="3"/>
  <c r="AM248" i="3"/>
  <c r="Y78" i="3"/>
  <c r="BD216" i="3"/>
  <c r="BB217" i="3"/>
  <c r="Z77" i="3"/>
  <c r="BB279" i="3"/>
  <c r="C45" i="3"/>
  <c r="I11" i="3"/>
  <c r="Z116" i="3"/>
  <c r="BD261" i="3"/>
  <c r="BB276" i="3"/>
  <c r="BB282" i="3"/>
  <c r="BD282" i="3"/>
  <c r="DE256" i="1"/>
  <c r="CR271" i="1"/>
  <c r="DE271" i="1" s="1"/>
  <c r="DF216" i="1"/>
  <c r="DD217" i="1"/>
  <c r="DD279" i="1"/>
  <c r="DF261" i="1"/>
  <c r="DD276" i="1"/>
  <c r="DF276" i="1" s="1"/>
  <c r="DD282" i="1"/>
  <c r="DF282" i="1"/>
  <c r="CD256" i="1"/>
  <c r="BQ271" i="1"/>
  <c r="CD271" i="1" s="1"/>
  <c r="CE216" i="1"/>
  <c r="CC217" i="1"/>
  <c r="CC279" i="1"/>
  <c r="CE261" i="1"/>
  <c r="CC276" i="1"/>
  <c r="CE276" i="1" s="1"/>
  <c r="CC282" i="1"/>
  <c r="CE282" i="1"/>
  <c r="AK271" i="1"/>
  <c r="I110" i="1"/>
  <c r="J105" i="1"/>
  <c r="AL252" i="1"/>
  <c r="AL272" i="1"/>
  <c r="AM248" i="1"/>
  <c r="K101" i="1"/>
  <c r="BD216" i="1"/>
  <c r="BB217" i="1"/>
  <c r="BB279" i="1"/>
  <c r="Z140" i="1" s="1"/>
  <c r="BD261" i="1"/>
  <c r="AC116" i="1" s="1"/>
  <c r="BB276" i="1"/>
  <c r="BB282" i="1"/>
  <c r="BD282" i="1"/>
  <c r="BA219" i="3"/>
  <c r="DC219" i="1"/>
  <c r="CB219" i="1"/>
  <c r="BA219" i="1"/>
  <c r="CB219" i="3"/>
  <c r="AC77" i="1" l="1"/>
  <c r="AC116" i="3"/>
  <c r="AC142" i="3"/>
  <c r="W120" i="1"/>
  <c r="AC77" i="3"/>
  <c r="W121" i="1"/>
  <c r="DB267" i="1"/>
  <c r="CA267" i="1"/>
  <c r="CA268" i="3"/>
  <c r="CA269" i="3" s="1"/>
  <c r="CA273" i="3"/>
  <c r="CB266" i="3"/>
  <c r="DC220" i="3"/>
  <c r="DF217" i="3"/>
  <c r="DD218" i="3"/>
  <c r="DF279" i="3"/>
  <c r="DF280" i="3"/>
  <c r="DD280" i="3"/>
  <c r="DC267" i="3"/>
  <c r="BA266" i="1"/>
  <c r="AZ273" i="1"/>
  <c r="AZ268" i="1"/>
  <c r="AC142" i="1"/>
  <c r="Z144" i="1"/>
  <c r="Z142" i="1"/>
  <c r="AB144" i="1"/>
  <c r="C151" i="1"/>
  <c r="O151" i="1" s="1"/>
  <c r="Y83" i="1"/>
  <c r="Y79" i="1"/>
  <c r="AZ269" i="3"/>
  <c r="CE217" i="3"/>
  <c r="CC218" i="3"/>
  <c r="CE279" i="3"/>
  <c r="CE280" i="3"/>
  <c r="CC280" i="3"/>
  <c r="I123" i="3"/>
  <c r="J108" i="3"/>
  <c r="AL256" i="3"/>
  <c r="K102" i="3"/>
  <c r="AM291" i="3"/>
  <c r="AM249" i="3"/>
  <c r="AN247" i="3"/>
  <c r="BD217" i="3"/>
  <c r="BB218" i="3"/>
  <c r="BD279" i="3"/>
  <c r="BD280" i="3"/>
  <c r="BB280" i="3"/>
  <c r="Z140" i="3"/>
  <c r="BD276" i="3"/>
  <c r="C161" i="3"/>
  <c r="W161" i="3" s="1"/>
  <c r="Z142" i="3"/>
  <c r="Z144" i="3"/>
  <c r="AB144" i="3"/>
  <c r="C151" i="3"/>
  <c r="O151" i="3" s="1"/>
  <c r="DF217" i="1"/>
  <c r="DD218" i="1"/>
  <c r="DF279" i="1"/>
  <c r="DF280" i="1"/>
  <c r="DD280" i="1"/>
  <c r="CE217" i="1"/>
  <c r="CC218" i="1"/>
  <c r="CE279" i="1"/>
  <c r="CE280" i="1"/>
  <c r="CC280" i="1"/>
  <c r="I123" i="1"/>
  <c r="AL256" i="1"/>
  <c r="J108" i="1"/>
  <c r="AM291" i="1"/>
  <c r="AM249" i="1"/>
  <c r="K102" i="1"/>
  <c r="AN247" i="1"/>
  <c r="BD217" i="1"/>
  <c r="BB218" i="1"/>
  <c r="BD279" i="1"/>
  <c r="BD280" i="1"/>
  <c r="BB280" i="1"/>
  <c r="BD276" i="1"/>
  <c r="C161" i="1"/>
  <c r="W161" i="1" s="1"/>
  <c r="BA220" i="3"/>
  <c r="Y83" i="3"/>
  <c r="Y79" i="3"/>
  <c r="BA267" i="3"/>
  <c r="DC220" i="1"/>
  <c r="CB220" i="1"/>
  <c r="BA220" i="1"/>
  <c r="Y80" i="1" s="1"/>
  <c r="CB220" i="3"/>
  <c r="AC140" i="3" l="1"/>
  <c r="DC266" i="1"/>
  <c r="DB273" i="1"/>
  <c r="DB268" i="1"/>
  <c r="DB269" i="1" s="1"/>
  <c r="CB266" i="1"/>
  <c r="CA273" i="1"/>
  <c r="CA268" i="1"/>
  <c r="CA269" i="1" s="1"/>
  <c r="X121" i="3"/>
  <c r="X120" i="3"/>
  <c r="AC141" i="3"/>
  <c r="Z141" i="3"/>
  <c r="Y80" i="3"/>
  <c r="DF218" i="3"/>
  <c r="DB233" i="3"/>
  <c r="CW233" i="3"/>
  <c r="DC233" i="3"/>
  <c r="CS233" i="3"/>
  <c r="CT233" i="3"/>
  <c r="CV233" i="3"/>
  <c r="DA233" i="3"/>
  <c r="CB267" i="3"/>
  <c r="AZ269" i="1"/>
  <c r="CZ233" i="3"/>
  <c r="DD233" i="3"/>
  <c r="CX233" i="3"/>
  <c r="CU233" i="3"/>
  <c r="CY233" i="3"/>
  <c r="DD219" i="3"/>
  <c r="DC268" i="3"/>
  <c r="DC269" i="3" s="1"/>
  <c r="DC273" i="3"/>
  <c r="DD266" i="3"/>
  <c r="BA267" i="1"/>
  <c r="Z78" i="1"/>
  <c r="AC140" i="1"/>
  <c r="AC141" i="1"/>
  <c r="Z141" i="1"/>
  <c r="CC219" i="3"/>
  <c r="BB219" i="3"/>
  <c r="BD219" i="3" s="1"/>
  <c r="CE218" i="3"/>
  <c r="BX233" i="3"/>
  <c r="BU233" i="3"/>
  <c r="BT233" i="3"/>
  <c r="BV233" i="3"/>
  <c r="BR233" i="3"/>
  <c r="BW233" i="3"/>
  <c r="BZ233" i="3"/>
  <c r="BY233" i="3"/>
  <c r="CA233" i="3"/>
  <c r="CC233" i="3"/>
  <c r="CB233" i="3"/>
  <c r="BS233" i="3"/>
  <c r="J110" i="3"/>
  <c r="AL271" i="3"/>
  <c r="K105" i="3"/>
  <c r="AM252" i="3"/>
  <c r="AM272" i="3"/>
  <c r="L101" i="3"/>
  <c r="AN248" i="3"/>
  <c r="BD218" i="3"/>
  <c r="AR233" i="3"/>
  <c r="AQ233" i="3"/>
  <c r="AT233" i="3"/>
  <c r="AS233" i="3"/>
  <c r="AZ233" i="3"/>
  <c r="AX233" i="3"/>
  <c r="BB233" i="3"/>
  <c r="AV233" i="3"/>
  <c r="AW233" i="3"/>
  <c r="AU233" i="3"/>
  <c r="AY233" i="3"/>
  <c r="BA233" i="3"/>
  <c r="Z78" i="3"/>
  <c r="DF218" i="1"/>
  <c r="DB233" i="1"/>
  <c r="CY233" i="1"/>
  <c r="CW233" i="1"/>
  <c r="CU233" i="1"/>
  <c r="CS233" i="1"/>
  <c r="CZ233" i="1"/>
  <c r="DC233" i="1"/>
  <c r="DA233" i="1"/>
  <c r="CX233" i="1"/>
  <c r="CV233" i="1"/>
  <c r="CT233" i="1"/>
  <c r="DD233" i="1"/>
  <c r="CE218" i="1"/>
  <c r="BW233" i="1"/>
  <c r="BY233" i="1"/>
  <c r="BR233" i="1"/>
  <c r="BT233" i="1"/>
  <c r="BZ233" i="1"/>
  <c r="CB233" i="1"/>
  <c r="CC233" i="1"/>
  <c r="BS233" i="1"/>
  <c r="BV233" i="1"/>
  <c r="BX233" i="1"/>
  <c r="CA233" i="1"/>
  <c r="BU233" i="1"/>
  <c r="AL271" i="1"/>
  <c r="J110" i="1"/>
  <c r="AM252" i="1"/>
  <c r="AM272" i="1"/>
  <c r="K105" i="1"/>
  <c r="AN248" i="1"/>
  <c r="L101" i="1"/>
  <c r="BD218" i="1"/>
  <c r="BB233" i="1"/>
  <c r="BA233" i="1"/>
  <c r="AZ233" i="1"/>
  <c r="AY233" i="1"/>
  <c r="AX233" i="1"/>
  <c r="AW233" i="1"/>
  <c r="AV233" i="1"/>
  <c r="AU233" i="1"/>
  <c r="AT233" i="1"/>
  <c r="AS233" i="1"/>
  <c r="AR233" i="1"/>
  <c r="AQ233" i="1"/>
  <c r="BB266" i="3"/>
  <c r="BA273" i="3"/>
  <c r="BA268" i="3"/>
  <c r="DD219" i="1"/>
  <c r="CC219" i="1"/>
  <c r="BB219" i="1"/>
  <c r="AC78" i="3" l="1"/>
  <c r="X121" i="1"/>
  <c r="X120" i="1"/>
  <c r="DC267" i="1"/>
  <c r="CB267" i="1"/>
  <c r="CS235" i="3"/>
  <c r="CS283" i="3" s="1"/>
  <c r="CC266" i="3"/>
  <c r="CB273" i="3"/>
  <c r="CB268" i="3"/>
  <c r="CB269" i="3" s="1"/>
  <c r="DF233" i="3"/>
  <c r="DD220" i="3"/>
  <c r="DF220" i="3"/>
  <c r="DF219" i="3"/>
  <c r="DF266" i="3"/>
  <c r="BA268" i="1"/>
  <c r="BA273" i="1"/>
  <c r="DD267" i="3"/>
  <c r="BB266" i="1"/>
  <c r="AC78" i="1"/>
  <c r="Z83" i="1"/>
  <c r="Z79" i="1"/>
  <c r="CE220" i="3"/>
  <c r="CC220" i="3"/>
  <c r="CE219" i="3"/>
  <c r="BD220" i="3"/>
  <c r="Z79" i="3"/>
  <c r="Z83" i="3"/>
  <c r="BB220" i="3"/>
  <c r="BR235" i="3"/>
  <c r="BR283" i="3" s="1"/>
  <c r="CE233" i="3"/>
  <c r="J123" i="3"/>
  <c r="K108" i="3"/>
  <c r="AM256" i="3"/>
  <c r="L102" i="3"/>
  <c r="AN291" i="3"/>
  <c r="AN249" i="3"/>
  <c r="AO247" i="3"/>
  <c r="AQ235" i="3"/>
  <c r="AQ283" i="3" s="1"/>
  <c r="BD233" i="3"/>
  <c r="CS235" i="1"/>
  <c r="CS283" i="1" s="1"/>
  <c r="DF233" i="1"/>
  <c r="BR235" i="1"/>
  <c r="BR283" i="1" s="1"/>
  <c r="CE233" i="1"/>
  <c r="J123" i="1"/>
  <c r="AM256" i="1"/>
  <c r="K108" i="1"/>
  <c r="AN291" i="1"/>
  <c r="AN249" i="1"/>
  <c r="L102" i="1"/>
  <c r="AO247" i="1"/>
  <c r="AQ235" i="1"/>
  <c r="AQ283" i="1" s="1"/>
  <c r="BD233" i="1"/>
  <c r="BD266" i="3"/>
  <c r="BB267" i="3"/>
  <c r="BA269" i="3"/>
  <c r="DD220" i="1"/>
  <c r="DF220" i="1"/>
  <c r="DF219" i="1"/>
  <c r="CC220" i="1"/>
  <c r="CE220" i="1"/>
  <c r="CE219" i="1"/>
  <c r="BB220" i="1"/>
  <c r="BD220" i="1"/>
  <c r="BD219" i="1"/>
  <c r="AC80" i="3" l="1"/>
  <c r="Z80" i="3"/>
  <c r="AC79" i="3"/>
  <c r="AC83" i="3"/>
  <c r="DC268" i="1"/>
  <c r="DC269" i="1" s="1"/>
  <c r="DC273" i="1"/>
  <c r="DD266" i="1"/>
  <c r="CB268" i="1"/>
  <c r="CB269" i="1" s="1"/>
  <c r="CB273" i="1"/>
  <c r="CC266" i="1"/>
  <c r="Y121" i="3"/>
  <c r="Y120" i="3"/>
  <c r="CT234" i="3"/>
  <c r="CT235" i="3" s="1"/>
  <c r="CT283" i="3" s="1"/>
  <c r="CS259" i="3"/>
  <c r="CS260" i="3" s="1"/>
  <c r="CS262" i="3" s="1"/>
  <c r="CS270" i="3" s="1"/>
  <c r="CS236" i="3"/>
  <c r="CE266" i="3"/>
  <c r="CC267" i="3"/>
  <c r="BA269" i="1"/>
  <c r="DD268" i="3"/>
  <c r="DF267" i="3"/>
  <c r="DD273" i="3"/>
  <c r="DF273" i="3" s="1"/>
  <c r="BD266" i="1"/>
  <c r="BB267" i="1"/>
  <c r="AC80" i="1"/>
  <c r="Z80" i="1"/>
  <c r="AC83" i="1"/>
  <c r="AC79" i="1"/>
  <c r="BR259" i="3"/>
  <c r="BR260" i="3" s="1"/>
  <c r="BR262" i="3" s="1"/>
  <c r="BR270" i="3" s="1"/>
  <c r="BS234" i="3"/>
  <c r="BS235" i="3" s="1"/>
  <c r="BS283" i="3" s="1"/>
  <c r="BR236" i="3"/>
  <c r="K110" i="3"/>
  <c r="AM271" i="3"/>
  <c r="L105" i="3"/>
  <c r="AN252" i="3"/>
  <c r="AN272" i="3"/>
  <c r="M101" i="3"/>
  <c r="AO248" i="3"/>
  <c r="AQ259" i="3"/>
  <c r="AQ236" i="3"/>
  <c r="AR234" i="3"/>
  <c r="AR235" i="3" s="1"/>
  <c r="AR283" i="3" s="1"/>
  <c r="CT234" i="1"/>
  <c r="CT235" i="1" s="1"/>
  <c r="CT283" i="1" s="1"/>
  <c r="CS259" i="1"/>
  <c r="CS260" i="1" s="1"/>
  <c r="CS262" i="1" s="1"/>
  <c r="CS270" i="1" s="1"/>
  <c r="CS236" i="1"/>
  <c r="BS234" i="1"/>
  <c r="BS235" i="1" s="1"/>
  <c r="BS283" i="1" s="1"/>
  <c r="BR259" i="1"/>
  <c r="BR260" i="1" s="1"/>
  <c r="BR262" i="1" s="1"/>
  <c r="BR270" i="1" s="1"/>
  <c r="BR236" i="1"/>
  <c r="AM271" i="1"/>
  <c r="K110" i="1"/>
  <c r="AN252" i="1"/>
  <c r="AN272" i="1"/>
  <c r="L105" i="1"/>
  <c r="AO248" i="1"/>
  <c r="M101" i="1"/>
  <c r="AR234" i="1"/>
  <c r="AR235" i="1" s="1"/>
  <c r="AR283" i="1" s="1"/>
  <c r="AQ259" i="1"/>
  <c r="AQ236" i="1"/>
  <c r="BD267" i="3"/>
  <c r="BB268" i="3"/>
  <c r="BB273" i="3"/>
  <c r="Y120" i="1" l="1"/>
  <c r="DF266" i="1"/>
  <c r="DD267" i="1"/>
  <c r="CE266" i="1"/>
  <c r="CC267" i="1"/>
  <c r="CT259" i="3"/>
  <c r="CT260" i="3" s="1"/>
  <c r="CT262" i="3" s="1"/>
  <c r="CT270" i="3" s="1"/>
  <c r="CT236" i="3"/>
  <c r="CT237" i="3" s="1"/>
  <c r="CU234" i="3"/>
  <c r="CU235" i="3" s="1"/>
  <c r="CU283" i="3" s="1"/>
  <c r="CS237" i="3"/>
  <c r="CE267" i="3"/>
  <c r="CC273" i="3"/>
  <c r="CE273" i="3" s="1"/>
  <c r="CC268" i="3"/>
  <c r="Y121" i="1"/>
  <c r="BB268" i="1"/>
  <c r="BB273" i="1"/>
  <c r="BD267" i="1"/>
  <c r="DD269" i="3"/>
  <c r="DF268" i="3"/>
  <c r="AQ260" i="1"/>
  <c r="O114" i="1"/>
  <c r="O89" i="1"/>
  <c r="O134" i="1"/>
  <c r="BS236" i="3"/>
  <c r="BS237" i="3" s="1"/>
  <c r="BS259" i="3"/>
  <c r="BS260" i="3" s="1"/>
  <c r="BS262" i="3" s="1"/>
  <c r="BS270" i="3" s="1"/>
  <c r="BT234" i="3"/>
  <c r="BT235" i="3" s="1"/>
  <c r="BT283" i="3" s="1"/>
  <c r="BR237" i="3"/>
  <c r="K123" i="3"/>
  <c r="L108" i="3"/>
  <c r="AN256" i="3"/>
  <c r="M102" i="3"/>
  <c r="AO291" i="3"/>
  <c r="AO249" i="3"/>
  <c r="AP247" i="3"/>
  <c r="AQ260" i="3"/>
  <c r="O114" i="3"/>
  <c r="AQ237" i="3"/>
  <c r="O134" i="3"/>
  <c r="O89" i="3"/>
  <c r="AR259" i="3"/>
  <c r="AS234" i="3"/>
  <c r="AS235" i="3" s="1"/>
  <c r="AS283" i="3" s="1"/>
  <c r="AR236" i="3"/>
  <c r="CT236" i="1"/>
  <c r="CT237" i="1" s="1"/>
  <c r="CT259" i="1"/>
  <c r="CT260" i="1" s="1"/>
  <c r="CT262" i="1" s="1"/>
  <c r="CT270" i="1" s="1"/>
  <c r="CU234" i="1"/>
  <c r="CU235" i="1" s="1"/>
  <c r="CU283" i="1" s="1"/>
  <c r="CS237" i="1"/>
  <c r="BS236" i="1"/>
  <c r="BS237" i="1" s="1"/>
  <c r="BS259" i="1"/>
  <c r="BS260" i="1" s="1"/>
  <c r="BS262" i="1" s="1"/>
  <c r="BS270" i="1" s="1"/>
  <c r="BT234" i="1"/>
  <c r="BT235" i="1" s="1"/>
  <c r="BT283" i="1" s="1"/>
  <c r="BR237" i="1"/>
  <c r="K123" i="1"/>
  <c r="AN256" i="1"/>
  <c r="L108" i="1"/>
  <c r="AO291" i="1"/>
  <c r="AO249" i="1"/>
  <c r="M102" i="1"/>
  <c r="AP247" i="1"/>
  <c r="AR236" i="1"/>
  <c r="AR259" i="1"/>
  <c r="AS234" i="1"/>
  <c r="AS235" i="1" s="1"/>
  <c r="AS283" i="1" s="1"/>
  <c r="AQ237" i="1"/>
  <c r="BB269" i="3"/>
  <c r="BD268" i="3"/>
  <c r="BD273" i="3"/>
  <c r="O135" i="1" l="1"/>
  <c r="Z120" i="3"/>
  <c r="DF267" i="1"/>
  <c r="DD268" i="1"/>
  <c r="DD273" i="1"/>
  <c r="DF273" i="1" s="1"/>
  <c r="CE267" i="1"/>
  <c r="CC268" i="1"/>
  <c r="CC273" i="1"/>
  <c r="CE273" i="1" s="1"/>
  <c r="CT238" i="3"/>
  <c r="CT277" i="3"/>
  <c r="CV234" i="3"/>
  <c r="CV235" i="3" s="1"/>
  <c r="CV283" i="3" s="1"/>
  <c r="CU236" i="3"/>
  <c r="CU259" i="3"/>
  <c r="CU260" i="3" s="1"/>
  <c r="CU262" i="3" s="1"/>
  <c r="CU270" i="3" s="1"/>
  <c r="CS238" i="3"/>
  <c r="C157" i="3"/>
  <c r="W157" i="3" s="1"/>
  <c r="CE268" i="3"/>
  <c r="AC120" i="3" s="1"/>
  <c r="CS277" i="3"/>
  <c r="CC269" i="3"/>
  <c r="BB269" i="1"/>
  <c r="BD268" i="1"/>
  <c r="BD273" i="1"/>
  <c r="DF269" i="3"/>
  <c r="R46" i="3"/>
  <c r="O115" i="1"/>
  <c r="AQ262" i="1"/>
  <c r="AR237" i="1"/>
  <c r="P135" i="1" s="1"/>
  <c r="P89" i="1"/>
  <c r="P134" i="1"/>
  <c r="AR260" i="1"/>
  <c r="P114" i="1"/>
  <c r="BS238" i="3"/>
  <c r="BS277" i="3"/>
  <c r="BT236" i="3"/>
  <c r="BU234" i="3"/>
  <c r="BU235" i="3" s="1"/>
  <c r="BU283" i="3" s="1"/>
  <c r="BT259" i="3"/>
  <c r="BT260" i="3" s="1"/>
  <c r="BT262" i="3" s="1"/>
  <c r="BT270" i="3" s="1"/>
  <c r="BR238" i="3"/>
  <c r="BR277" i="3"/>
  <c r="L110" i="3"/>
  <c r="AN271" i="3"/>
  <c r="M105" i="3"/>
  <c r="AO252" i="3"/>
  <c r="AO272" i="3"/>
  <c r="N101" i="3"/>
  <c r="BC247" i="3"/>
  <c r="AB101" i="3" s="1"/>
  <c r="AP248" i="3"/>
  <c r="AQ262" i="3"/>
  <c r="O115" i="3"/>
  <c r="AQ238" i="3"/>
  <c r="AQ277" i="3"/>
  <c r="O135" i="3"/>
  <c r="AR260" i="3"/>
  <c r="P114" i="3"/>
  <c r="AT234" i="3"/>
  <c r="AT235" i="3" s="1"/>
  <c r="AT283" i="3" s="1"/>
  <c r="AS236" i="3"/>
  <c r="AS259" i="3"/>
  <c r="AR237" i="3"/>
  <c r="P134" i="3"/>
  <c r="P89" i="3"/>
  <c r="CT238" i="1"/>
  <c r="CT277" i="1"/>
  <c r="CU236" i="1"/>
  <c r="CU259" i="1"/>
  <c r="CU260" i="1" s="1"/>
  <c r="CU262" i="1" s="1"/>
  <c r="CU270" i="1" s="1"/>
  <c r="CV234" i="1"/>
  <c r="CV235" i="1" s="1"/>
  <c r="CV283" i="1" s="1"/>
  <c r="CS238" i="1"/>
  <c r="CS277" i="1"/>
  <c r="BS238" i="1"/>
  <c r="BS277" i="1"/>
  <c r="BT236" i="1"/>
  <c r="BT237" i="1" s="1"/>
  <c r="BT259" i="1"/>
  <c r="BT260" i="1" s="1"/>
  <c r="BT262" i="1" s="1"/>
  <c r="BT270" i="1" s="1"/>
  <c r="BU234" i="1"/>
  <c r="BU235" i="1" s="1"/>
  <c r="BU283" i="1" s="1"/>
  <c r="BR238" i="1"/>
  <c r="BR277" i="1"/>
  <c r="AN271" i="1"/>
  <c r="L110" i="1"/>
  <c r="AO252" i="1"/>
  <c r="AO272" i="1"/>
  <c r="M105" i="1"/>
  <c r="BC247" i="1"/>
  <c r="AB101" i="1" s="1"/>
  <c r="AP248" i="1"/>
  <c r="N101" i="1"/>
  <c r="AS236" i="1"/>
  <c r="AS259" i="1"/>
  <c r="AT234" i="1"/>
  <c r="AT235" i="1" s="1"/>
  <c r="AT283" i="1" s="1"/>
  <c r="AQ238" i="1"/>
  <c r="AQ277" i="1"/>
  <c r="BD269" i="3"/>
  <c r="C46" i="3"/>
  <c r="Z120" i="1" l="1"/>
  <c r="DD269" i="1"/>
  <c r="DF268" i="1"/>
  <c r="C157" i="1"/>
  <c r="W157" i="1" s="1"/>
  <c r="CC269" i="1"/>
  <c r="CE268" i="1"/>
  <c r="BD269" i="1"/>
  <c r="C46" i="1"/>
  <c r="Z121" i="3"/>
  <c r="O11" i="3"/>
  <c r="CT246" i="3"/>
  <c r="CT281" i="3"/>
  <c r="CV259" i="3"/>
  <c r="CV260" i="3" s="1"/>
  <c r="CV262" i="3" s="1"/>
  <c r="CV270" i="3" s="1"/>
  <c r="CV236" i="3"/>
  <c r="CV237" i="3" s="1"/>
  <c r="CW234" i="3"/>
  <c r="CW235" i="3" s="1"/>
  <c r="CW283" i="3" s="1"/>
  <c r="CU237" i="3"/>
  <c r="CS281" i="3"/>
  <c r="CS246" i="3"/>
  <c r="CE269" i="3"/>
  <c r="AC121" i="3" s="1"/>
  <c r="K46" i="3"/>
  <c r="AR238" i="1"/>
  <c r="P90" i="1" s="1"/>
  <c r="AR277" i="1"/>
  <c r="O90" i="1"/>
  <c r="O117" i="1"/>
  <c r="AQ270" i="1"/>
  <c r="O122" i="1" s="1"/>
  <c r="P115" i="1"/>
  <c r="AR262" i="1"/>
  <c r="Q89" i="1"/>
  <c r="Q134" i="1"/>
  <c r="AS260" i="1"/>
  <c r="Q114" i="1"/>
  <c r="BS281" i="3"/>
  <c r="BS246" i="3"/>
  <c r="BT237" i="3"/>
  <c r="BU236" i="3"/>
  <c r="BU237" i="3" s="1"/>
  <c r="BU259" i="3"/>
  <c r="BU260" i="3" s="1"/>
  <c r="BU262" i="3" s="1"/>
  <c r="BU270" i="3" s="1"/>
  <c r="BV234" i="3"/>
  <c r="BV235" i="3" s="1"/>
  <c r="BV283" i="3" s="1"/>
  <c r="BR246" i="3"/>
  <c r="BR281" i="3"/>
  <c r="L123" i="3"/>
  <c r="M108" i="3"/>
  <c r="AO256" i="3"/>
  <c r="N102" i="3"/>
  <c r="AP291" i="3"/>
  <c r="BC248" i="3"/>
  <c r="AB102" i="3" s="1"/>
  <c r="AP249" i="3"/>
  <c r="AQ247" i="3"/>
  <c r="O117" i="3"/>
  <c r="AQ270" i="3"/>
  <c r="O122" i="3" s="1"/>
  <c r="AQ281" i="3"/>
  <c r="AQ246" i="3"/>
  <c r="O90" i="3"/>
  <c r="AR262" i="3"/>
  <c r="P115" i="3"/>
  <c r="AT259" i="3"/>
  <c r="AU234" i="3"/>
  <c r="AU235" i="3" s="1"/>
  <c r="AU283" i="3" s="1"/>
  <c r="AT236" i="3"/>
  <c r="AS237" i="3"/>
  <c r="Q134" i="3"/>
  <c r="Q89" i="3"/>
  <c r="AS260" i="3"/>
  <c r="Q114" i="3"/>
  <c r="AR238" i="3"/>
  <c r="AR277" i="3"/>
  <c r="P135" i="3"/>
  <c r="CT281" i="1"/>
  <c r="CT246" i="1"/>
  <c r="CU237" i="1"/>
  <c r="CV236" i="1"/>
  <c r="CV237" i="1" s="1"/>
  <c r="CV259" i="1"/>
  <c r="CV260" i="1" s="1"/>
  <c r="CV262" i="1" s="1"/>
  <c r="CV270" i="1" s="1"/>
  <c r="CW234" i="1"/>
  <c r="CW235" i="1" s="1"/>
  <c r="CW283" i="1" s="1"/>
  <c r="CS281" i="1"/>
  <c r="CS246" i="1"/>
  <c r="BS281" i="1"/>
  <c r="BS246" i="1"/>
  <c r="BT238" i="1"/>
  <c r="BT277" i="1"/>
  <c r="BU236" i="1"/>
  <c r="BU259" i="1"/>
  <c r="BU260" i="1" s="1"/>
  <c r="BU262" i="1" s="1"/>
  <c r="BU270" i="1" s="1"/>
  <c r="BV234" i="1"/>
  <c r="BV235" i="1" s="1"/>
  <c r="BV283" i="1" s="1"/>
  <c r="BR281" i="1"/>
  <c r="BR246" i="1"/>
  <c r="L123" i="1"/>
  <c r="AO256" i="1"/>
  <c r="M108" i="1"/>
  <c r="AP291" i="1"/>
  <c r="AP249" i="1"/>
  <c r="N102" i="1"/>
  <c r="AQ247" i="1"/>
  <c r="O101" i="1" s="1"/>
  <c r="BC248" i="1"/>
  <c r="AB102" i="1" s="1"/>
  <c r="AS237" i="1"/>
  <c r="AT236" i="1"/>
  <c r="AT259" i="1"/>
  <c r="AU234" i="1"/>
  <c r="AU235" i="1" s="1"/>
  <c r="AU283" i="1" s="1"/>
  <c r="AQ281" i="1"/>
  <c r="AQ246" i="1"/>
  <c r="O143" i="3" l="1"/>
  <c r="Q135" i="1"/>
  <c r="O143" i="1"/>
  <c r="O100" i="1"/>
  <c r="AC120" i="1"/>
  <c r="Z121" i="1"/>
  <c r="O11" i="1"/>
  <c r="R46" i="1"/>
  <c r="DF269" i="1"/>
  <c r="K46" i="1"/>
  <c r="CE269" i="1"/>
  <c r="AC121" i="1"/>
  <c r="CV238" i="3"/>
  <c r="CV277" i="3"/>
  <c r="CW236" i="3"/>
  <c r="CW259" i="3"/>
  <c r="CW260" i="3" s="1"/>
  <c r="CW262" i="3" s="1"/>
  <c r="CW270" i="3" s="1"/>
  <c r="CX234" i="3"/>
  <c r="CX235" i="3" s="1"/>
  <c r="CX283" i="3" s="1"/>
  <c r="CU238" i="3"/>
  <c r="CU277" i="3"/>
  <c r="CS248" i="3"/>
  <c r="AR281" i="1"/>
  <c r="P143" i="1" s="1"/>
  <c r="AR246" i="1"/>
  <c r="P100" i="1" s="1"/>
  <c r="P117" i="1"/>
  <c r="AR270" i="1"/>
  <c r="P122" i="1" s="1"/>
  <c r="Q115" i="1"/>
  <c r="AS262" i="1"/>
  <c r="AT237" i="1"/>
  <c r="R89" i="1"/>
  <c r="R134" i="1"/>
  <c r="AT260" i="1"/>
  <c r="R114" i="1"/>
  <c r="BT238" i="3"/>
  <c r="BT277" i="3"/>
  <c r="BU238" i="3"/>
  <c r="BU277" i="3"/>
  <c r="BV259" i="3"/>
  <c r="BV260" i="3" s="1"/>
  <c r="BV262" i="3" s="1"/>
  <c r="BV270" i="3" s="1"/>
  <c r="BW234" i="3"/>
  <c r="BW235" i="3" s="1"/>
  <c r="BW283" i="3" s="1"/>
  <c r="BV236" i="3"/>
  <c r="BV237" i="3" s="1"/>
  <c r="BR248" i="3"/>
  <c r="M110" i="3"/>
  <c r="AO271" i="3"/>
  <c r="N105" i="3"/>
  <c r="BC249" i="3"/>
  <c r="AB105" i="3" s="1"/>
  <c r="AP252" i="3"/>
  <c r="AP272" i="3"/>
  <c r="BC272" i="3" s="1"/>
  <c r="C287" i="3"/>
  <c r="O101" i="3"/>
  <c r="AQ248" i="3"/>
  <c r="O100" i="3"/>
  <c r="P117" i="3"/>
  <c r="AR270" i="3"/>
  <c r="P122" i="3" s="1"/>
  <c r="AT260" i="3"/>
  <c r="R114" i="3"/>
  <c r="AU236" i="3"/>
  <c r="AU259" i="3"/>
  <c r="AV234" i="3"/>
  <c r="AV235" i="3" s="1"/>
  <c r="AV283" i="3" s="1"/>
  <c r="AT237" i="3"/>
  <c r="R134" i="3"/>
  <c r="R89" i="3"/>
  <c r="AS238" i="3"/>
  <c r="AS277" i="3"/>
  <c r="Q135" i="3"/>
  <c r="AS262" i="3"/>
  <c r="Q115" i="3"/>
  <c r="AR246" i="3"/>
  <c r="P100" i="3" s="1"/>
  <c r="AR281" i="3"/>
  <c r="P143" i="3" s="1"/>
  <c r="P90" i="3"/>
  <c r="CU238" i="1"/>
  <c r="CU277" i="1"/>
  <c r="CV238" i="1"/>
  <c r="CV277" i="1"/>
  <c r="CW236" i="1"/>
  <c r="CW237" i="1" s="1"/>
  <c r="CW259" i="1"/>
  <c r="CW260" i="1" s="1"/>
  <c r="CW262" i="1" s="1"/>
  <c r="CW270" i="1" s="1"/>
  <c r="CX234" i="1"/>
  <c r="CX235" i="1" s="1"/>
  <c r="CX283" i="1" s="1"/>
  <c r="CS248" i="1"/>
  <c r="BT281" i="1"/>
  <c r="BT246" i="1"/>
  <c r="BU237" i="1"/>
  <c r="BV236" i="1"/>
  <c r="BV237" i="1" s="1"/>
  <c r="BV259" i="1"/>
  <c r="BV260" i="1" s="1"/>
  <c r="BV262" i="1" s="1"/>
  <c r="BV270" i="1" s="1"/>
  <c r="BW234" i="1"/>
  <c r="BW235" i="1" s="1"/>
  <c r="BW283" i="1" s="1"/>
  <c r="BR248" i="1"/>
  <c r="AO271" i="1"/>
  <c r="M110" i="1"/>
  <c r="C287" i="1"/>
  <c r="N105" i="1"/>
  <c r="BC249" i="1"/>
  <c r="AB105" i="1" s="1"/>
  <c r="AP252" i="1"/>
  <c r="AP272" i="1"/>
  <c r="BC272" i="1" s="1"/>
  <c r="AS238" i="1"/>
  <c r="AS277" i="1"/>
  <c r="AU236" i="1"/>
  <c r="AU259" i="1"/>
  <c r="AV234" i="1"/>
  <c r="AV235" i="1" s="1"/>
  <c r="AV283" i="1" s="1"/>
  <c r="AQ248" i="1"/>
  <c r="Q90" i="1" l="1"/>
  <c r="R135" i="1"/>
  <c r="O102" i="1"/>
  <c r="CV246" i="3"/>
  <c r="CW237" i="3"/>
  <c r="CS249" i="3"/>
  <c r="CV281" i="3"/>
  <c r="CX259" i="3"/>
  <c r="CX260" i="3" s="1"/>
  <c r="CX262" i="3" s="1"/>
  <c r="CX270" i="3" s="1"/>
  <c r="CX236" i="3"/>
  <c r="CX237" i="3" s="1"/>
  <c r="CY234" i="3"/>
  <c r="CY235" i="3" s="1"/>
  <c r="CY283" i="3" s="1"/>
  <c r="CU281" i="3"/>
  <c r="CU246" i="3"/>
  <c r="CT247" i="3"/>
  <c r="CT248" i="3" s="1"/>
  <c r="AT277" i="1"/>
  <c r="AT238" i="1"/>
  <c r="Q117" i="1"/>
  <c r="AS270" i="1"/>
  <c r="Q122" i="1" s="1"/>
  <c r="R115" i="1"/>
  <c r="AT262" i="1"/>
  <c r="S89" i="1"/>
  <c r="S134" i="1"/>
  <c r="AU260" i="1"/>
  <c r="S114" i="1"/>
  <c r="BT281" i="3"/>
  <c r="BT246" i="3"/>
  <c r="BU281" i="3"/>
  <c r="BU246" i="3"/>
  <c r="BW236" i="3"/>
  <c r="BW237" i="3" s="1"/>
  <c r="BW259" i="3"/>
  <c r="BW260" i="3" s="1"/>
  <c r="BW262" i="3" s="1"/>
  <c r="BW270" i="3" s="1"/>
  <c r="BX234" i="3"/>
  <c r="BX235" i="3" s="1"/>
  <c r="BX283" i="3" s="1"/>
  <c r="BV238" i="3"/>
  <c r="BV277" i="3"/>
  <c r="BS247" i="3"/>
  <c r="BS248" i="3" s="1"/>
  <c r="BR249" i="3"/>
  <c r="M123" i="3"/>
  <c r="N108" i="3"/>
  <c r="BC252" i="3"/>
  <c r="AB108" i="3" s="1"/>
  <c r="AP256" i="3"/>
  <c r="O102" i="3"/>
  <c r="AQ249" i="3"/>
  <c r="AR247" i="3"/>
  <c r="AT262" i="3"/>
  <c r="R115" i="3"/>
  <c r="AU237" i="3"/>
  <c r="S134" i="3"/>
  <c r="S89" i="3"/>
  <c r="AU260" i="3"/>
  <c r="S114" i="3"/>
  <c r="AV236" i="3"/>
  <c r="AV259" i="3"/>
  <c r="AW234" i="3"/>
  <c r="AW235" i="3" s="1"/>
  <c r="AW283" i="3" s="1"/>
  <c r="AT238" i="3"/>
  <c r="R135" i="3"/>
  <c r="AT277" i="3"/>
  <c r="AS281" i="3"/>
  <c r="AS246" i="3"/>
  <c r="Q90" i="3"/>
  <c r="Q117" i="3"/>
  <c r="AS270" i="3"/>
  <c r="Q122" i="3" s="1"/>
  <c r="CU281" i="1"/>
  <c r="CU246" i="1"/>
  <c r="CV281" i="1"/>
  <c r="CV246" i="1"/>
  <c r="CW238" i="1"/>
  <c r="CW277" i="1"/>
  <c r="CX236" i="1"/>
  <c r="CX237" i="1" s="1"/>
  <c r="CX259" i="1"/>
  <c r="CX260" i="1" s="1"/>
  <c r="CX262" i="1" s="1"/>
  <c r="CX270" i="1" s="1"/>
  <c r="CY234" i="1"/>
  <c r="CY235" i="1" s="1"/>
  <c r="CY283" i="1" s="1"/>
  <c r="CT247" i="1"/>
  <c r="CT248" i="1" s="1"/>
  <c r="CS249" i="1"/>
  <c r="BU238" i="1"/>
  <c r="BU277" i="1"/>
  <c r="BV238" i="1"/>
  <c r="BV277" i="1"/>
  <c r="BW236" i="1"/>
  <c r="BW237" i="1" s="1"/>
  <c r="BW259" i="1"/>
  <c r="BW260" i="1" s="1"/>
  <c r="BW262" i="1" s="1"/>
  <c r="BW270" i="1" s="1"/>
  <c r="BX234" i="1"/>
  <c r="BX235" i="1" s="1"/>
  <c r="BX283" i="1" s="1"/>
  <c r="BR249" i="1"/>
  <c r="BS247" i="1"/>
  <c r="BS248" i="1" s="1"/>
  <c r="M123" i="1"/>
  <c r="BC252" i="1"/>
  <c r="AB108" i="1" s="1"/>
  <c r="AP256" i="1"/>
  <c r="N108" i="1"/>
  <c r="AS281" i="1"/>
  <c r="AS246" i="1"/>
  <c r="AU237" i="1"/>
  <c r="S135" i="1" s="1"/>
  <c r="AV236" i="1"/>
  <c r="AV259" i="1"/>
  <c r="AW234" i="1"/>
  <c r="AW235" i="1" s="1"/>
  <c r="AW283" i="1" s="1"/>
  <c r="AR247" i="1"/>
  <c r="AQ249" i="1"/>
  <c r="O105" i="1" l="1"/>
  <c r="R90" i="1"/>
  <c r="Q143" i="3"/>
  <c r="Q100" i="3"/>
  <c r="CW277" i="3"/>
  <c r="CW238" i="3"/>
  <c r="CX238" i="3"/>
  <c r="CX277" i="3"/>
  <c r="CY236" i="3"/>
  <c r="CY237" i="3" s="1"/>
  <c r="CY259" i="3"/>
  <c r="CY260" i="3" s="1"/>
  <c r="CY262" i="3" s="1"/>
  <c r="CY270" i="3" s="1"/>
  <c r="CS272" i="3"/>
  <c r="CZ234" i="3"/>
  <c r="CZ235" i="3" s="1"/>
  <c r="CZ283" i="3" s="1"/>
  <c r="CT249" i="3"/>
  <c r="CU247" i="3"/>
  <c r="CU248" i="3" s="1"/>
  <c r="CS252" i="3"/>
  <c r="CS256" i="3" s="1"/>
  <c r="CS271" i="3" s="1"/>
  <c r="Q100" i="1"/>
  <c r="Q143" i="1"/>
  <c r="AT281" i="1"/>
  <c r="AT246" i="1"/>
  <c r="R117" i="1"/>
  <c r="AT270" i="1"/>
  <c r="R122" i="1" s="1"/>
  <c r="S115" i="1"/>
  <c r="AU262" i="1"/>
  <c r="AV237" i="1"/>
  <c r="T135" i="1" s="1"/>
  <c r="T89" i="1"/>
  <c r="T134" i="1"/>
  <c r="AV260" i="1"/>
  <c r="T114" i="1"/>
  <c r="AR248" i="1"/>
  <c r="P102" i="1" s="1"/>
  <c r="P101" i="1"/>
  <c r="BW238" i="3"/>
  <c r="BW277" i="3"/>
  <c r="BX236" i="3"/>
  <c r="BX237" i="3" s="1"/>
  <c r="BX259" i="3"/>
  <c r="BX260" i="3" s="1"/>
  <c r="BX262" i="3" s="1"/>
  <c r="BX270" i="3" s="1"/>
  <c r="BY234" i="3"/>
  <c r="BY235" i="3" s="1"/>
  <c r="BY283" i="3" s="1"/>
  <c r="BV281" i="3"/>
  <c r="BV246" i="3"/>
  <c r="BS249" i="3"/>
  <c r="BT247" i="3"/>
  <c r="BT248" i="3" s="1"/>
  <c r="BR252" i="3"/>
  <c r="BR256" i="3" s="1"/>
  <c r="BR271" i="3" s="1"/>
  <c r="BR272" i="3"/>
  <c r="N110" i="3"/>
  <c r="AP271" i="3"/>
  <c r="BC256" i="3"/>
  <c r="AB110" i="3" s="1"/>
  <c r="O105" i="3"/>
  <c r="AQ252" i="3"/>
  <c r="AQ272" i="3"/>
  <c r="P101" i="3"/>
  <c r="AR248" i="3"/>
  <c r="R117" i="3"/>
  <c r="AT270" i="3"/>
  <c r="R122" i="3" s="1"/>
  <c r="AU238" i="3"/>
  <c r="AU277" i="3"/>
  <c r="S135" i="3"/>
  <c r="AU262" i="3"/>
  <c r="S115" i="3"/>
  <c r="AV237" i="3"/>
  <c r="T134" i="3"/>
  <c r="T89" i="3"/>
  <c r="AV260" i="3"/>
  <c r="T114" i="3"/>
  <c r="AW236" i="3"/>
  <c r="AW259" i="3"/>
  <c r="AX234" i="3"/>
  <c r="AX235" i="3" s="1"/>
  <c r="AX283" i="3" s="1"/>
  <c r="AT246" i="3"/>
  <c r="R100" i="3" s="1"/>
  <c r="AT281" i="3"/>
  <c r="R143" i="3" s="1"/>
  <c r="R90" i="3"/>
  <c r="CW281" i="1"/>
  <c r="CW246" i="1"/>
  <c r="CX238" i="1"/>
  <c r="CX277" i="1"/>
  <c r="CY236" i="1"/>
  <c r="CY237" i="1" s="1"/>
  <c r="CY259" i="1"/>
  <c r="CY260" i="1" s="1"/>
  <c r="CY262" i="1" s="1"/>
  <c r="CY270" i="1" s="1"/>
  <c r="CZ234" i="1"/>
  <c r="CZ235" i="1" s="1"/>
  <c r="CZ283" i="1" s="1"/>
  <c r="CT249" i="1"/>
  <c r="CU247" i="1"/>
  <c r="CU248" i="1" s="1"/>
  <c r="CS252" i="1"/>
  <c r="CS256" i="1" s="1"/>
  <c r="CS271" i="1" s="1"/>
  <c r="CS272" i="1"/>
  <c r="BU281" i="1"/>
  <c r="BU246" i="1"/>
  <c r="BV281" i="1"/>
  <c r="BV246" i="1"/>
  <c r="BW238" i="1"/>
  <c r="BW277" i="1"/>
  <c r="BX236" i="1"/>
  <c r="BX237" i="1" s="1"/>
  <c r="BX259" i="1"/>
  <c r="BX260" i="1" s="1"/>
  <c r="BX262" i="1" s="1"/>
  <c r="BX270" i="1" s="1"/>
  <c r="BY234" i="1"/>
  <c r="BY235" i="1" s="1"/>
  <c r="BY283" i="1" s="1"/>
  <c r="BR252" i="1"/>
  <c r="BR256" i="1" s="1"/>
  <c r="BR271" i="1" s="1"/>
  <c r="BR272" i="1"/>
  <c r="BT247" i="1"/>
  <c r="BT248" i="1" s="1"/>
  <c r="BS249" i="1"/>
  <c r="BC256" i="1"/>
  <c r="AB110" i="1" s="1"/>
  <c r="AP271" i="1"/>
  <c r="N110" i="1"/>
  <c r="AU238" i="1"/>
  <c r="S90" i="1" s="1"/>
  <c r="AU277" i="1"/>
  <c r="AW236" i="1"/>
  <c r="AW259" i="1"/>
  <c r="AX234" i="1"/>
  <c r="AX235" i="1" s="1"/>
  <c r="AX283" i="1" s="1"/>
  <c r="AQ252" i="1"/>
  <c r="AQ272" i="1"/>
  <c r="R100" i="1" l="1"/>
  <c r="R143" i="1"/>
  <c r="CW281" i="3"/>
  <c r="CW246" i="3"/>
  <c r="CX246" i="3"/>
  <c r="CX281" i="3"/>
  <c r="CY238" i="3"/>
  <c r="CY277" i="3"/>
  <c r="CZ259" i="3"/>
  <c r="CZ260" i="3" s="1"/>
  <c r="CZ262" i="3" s="1"/>
  <c r="CZ270" i="3" s="1"/>
  <c r="CZ236" i="3"/>
  <c r="CZ237" i="3" s="1"/>
  <c r="DA234" i="3"/>
  <c r="DA235" i="3" s="1"/>
  <c r="DA283" i="3" s="1"/>
  <c r="CT252" i="3"/>
  <c r="CT256" i="3" s="1"/>
  <c r="CT271" i="3" s="1"/>
  <c r="CT272" i="3"/>
  <c r="CU249" i="3"/>
  <c r="CV247" i="3"/>
  <c r="CV248" i="3" s="1"/>
  <c r="AV238" i="1"/>
  <c r="T90" i="1" s="1"/>
  <c r="AV277" i="1"/>
  <c r="AR249" i="1"/>
  <c r="P105" i="1" s="1"/>
  <c r="AS247" i="1"/>
  <c r="S117" i="1"/>
  <c r="AU270" i="1"/>
  <c r="S122" i="1" s="1"/>
  <c r="T115" i="1"/>
  <c r="AV262" i="1"/>
  <c r="AW237" i="1"/>
  <c r="U135" i="1" s="1"/>
  <c r="U89" i="1"/>
  <c r="U134" i="1"/>
  <c r="AW260" i="1"/>
  <c r="U114" i="1"/>
  <c r="AQ256" i="1"/>
  <c r="O108" i="1"/>
  <c r="BW281" i="3"/>
  <c r="BW246" i="3"/>
  <c r="BX238" i="3"/>
  <c r="BX277" i="3"/>
  <c r="BY236" i="3"/>
  <c r="BY237" i="3" s="1"/>
  <c r="BY259" i="3"/>
  <c r="BY260" i="3" s="1"/>
  <c r="BY262" i="3" s="1"/>
  <c r="BY270" i="3" s="1"/>
  <c r="BZ234" i="3"/>
  <c r="BZ235" i="3" s="1"/>
  <c r="BZ283" i="3" s="1"/>
  <c r="BS252" i="3"/>
  <c r="BS256" i="3" s="1"/>
  <c r="BS271" i="3" s="1"/>
  <c r="BS272" i="3"/>
  <c r="BT249" i="3"/>
  <c r="BU247" i="3"/>
  <c r="BU248" i="3" s="1"/>
  <c r="BC271" i="3"/>
  <c r="AB123" i="3" s="1"/>
  <c r="N123" i="3"/>
  <c r="O108" i="3"/>
  <c r="AQ256" i="3"/>
  <c r="P102" i="3"/>
  <c r="AR249" i="3"/>
  <c r="AS247" i="3"/>
  <c r="AU281" i="3"/>
  <c r="AU246" i="3"/>
  <c r="S90" i="3"/>
  <c r="S117" i="3"/>
  <c r="AU270" i="3"/>
  <c r="S122" i="3" s="1"/>
  <c r="AV238" i="3"/>
  <c r="AV277" i="3"/>
  <c r="T135" i="3"/>
  <c r="AV262" i="3"/>
  <c r="T115" i="3"/>
  <c r="AW237" i="3"/>
  <c r="U134" i="3"/>
  <c r="U89" i="3"/>
  <c r="AW260" i="3"/>
  <c r="U114" i="3"/>
  <c r="AX236" i="3"/>
  <c r="AX259" i="3"/>
  <c r="AY234" i="3"/>
  <c r="AY235" i="3" s="1"/>
  <c r="AY283" i="3" s="1"/>
  <c r="CX281" i="1"/>
  <c r="CX246" i="1"/>
  <c r="CY238" i="1"/>
  <c r="CY277" i="1"/>
  <c r="CZ236" i="1"/>
  <c r="CZ237" i="1" s="1"/>
  <c r="CZ259" i="1"/>
  <c r="CZ260" i="1" s="1"/>
  <c r="CZ262" i="1" s="1"/>
  <c r="CZ270" i="1" s="1"/>
  <c r="DA234" i="1"/>
  <c r="DA235" i="1" s="1"/>
  <c r="DA283" i="1" s="1"/>
  <c r="CT252" i="1"/>
  <c r="CT256" i="1" s="1"/>
  <c r="CT271" i="1" s="1"/>
  <c r="CT272" i="1"/>
  <c r="CU249" i="1"/>
  <c r="CV247" i="1"/>
  <c r="CV248" i="1" s="1"/>
  <c r="BW281" i="1"/>
  <c r="BW246" i="1"/>
  <c r="BX238" i="1"/>
  <c r="BX277" i="1"/>
  <c r="BY236" i="1"/>
  <c r="BY259" i="1"/>
  <c r="BY260" i="1" s="1"/>
  <c r="BY262" i="1" s="1"/>
  <c r="BY270" i="1" s="1"/>
  <c r="BZ234" i="1"/>
  <c r="BZ235" i="1" s="1"/>
  <c r="BZ283" i="1" s="1"/>
  <c r="BT249" i="1"/>
  <c r="BU247" i="1"/>
  <c r="BU248" i="1" s="1"/>
  <c r="BS252" i="1"/>
  <c r="BS256" i="1" s="1"/>
  <c r="BS271" i="1" s="1"/>
  <c r="BS272" i="1"/>
  <c r="BC271" i="1"/>
  <c r="AB123" i="1" s="1"/>
  <c r="N123" i="1"/>
  <c r="AU281" i="1"/>
  <c r="S143" i="1" s="1"/>
  <c r="AU246" i="1"/>
  <c r="S100" i="1" s="1"/>
  <c r="AX236" i="1"/>
  <c r="AX259" i="1"/>
  <c r="AY234" i="1"/>
  <c r="AY235" i="1" s="1"/>
  <c r="AY283" i="1" s="1"/>
  <c r="S143" i="3" l="1"/>
  <c r="CY281" i="3"/>
  <c r="CY246" i="3"/>
  <c r="CZ238" i="3"/>
  <c r="CZ277" i="3"/>
  <c r="DB234" i="3"/>
  <c r="DB235" i="3" s="1"/>
  <c r="DB283" i="3" s="1"/>
  <c r="DA236" i="3"/>
  <c r="DA237" i="3" s="1"/>
  <c r="DA259" i="3"/>
  <c r="DA260" i="3" s="1"/>
  <c r="DA262" i="3" s="1"/>
  <c r="DA270" i="3" s="1"/>
  <c r="CU252" i="3"/>
  <c r="CU256" i="3" s="1"/>
  <c r="CU271" i="3" s="1"/>
  <c r="CU272" i="3"/>
  <c r="CV249" i="3"/>
  <c r="CW247" i="3"/>
  <c r="CW248" i="3" s="1"/>
  <c r="Q101" i="1"/>
  <c r="AS248" i="1"/>
  <c r="Q102" i="1" s="1"/>
  <c r="AR272" i="1"/>
  <c r="AV281" i="1"/>
  <c r="T143" i="1" s="1"/>
  <c r="AV246" i="1"/>
  <c r="T100" i="1" s="1"/>
  <c r="AW238" i="1"/>
  <c r="U90" i="1" s="1"/>
  <c r="AW277" i="1"/>
  <c r="AR252" i="1"/>
  <c r="T117" i="1"/>
  <c r="AV270" i="1"/>
  <c r="T122" i="1" s="1"/>
  <c r="U115" i="1"/>
  <c r="AW262" i="1"/>
  <c r="O110" i="1"/>
  <c r="AQ271" i="1"/>
  <c r="O123" i="1" s="1"/>
  <c r="V89" i="1"/>
  <c r="V134" i="1"/>
  <c r="AX260" i="1"/>
  <c r="V114" i="1"/>
  <c r="BX246" i="3"/>
  <c r="BX281" i="3"/>
  <c r="BY238" i="3"/>
  <c r="BY277" i="3"/>
  <c r="BZ259" i="3"/>
  <c r="BZ260" i="3" s="1"/>
  <c r="BZ262" i="3" s="1"/>
  <c r="BZ270" i="3" s="1"/>
  <c r="CA234" i="3"/>
  <c r="CA235" i="3" s="1"/>
  <c r="CA283" i="3" s="1"/>
  <c r="BZ236" i="3"/>
  <c r="BZ237" i="3" s="1"/>
  <c r="BT252" i="3"/>
  <c r="BT256" i="3" s="1"/>
  <c r="BT271" i="3" s="1"/>
  <c r="BT272" i="3"/>
  <c r="BU249" i="3"/>
  <c r="BV247" i="3"/>
  <c r="BV248" i="3" s="1"/>
  <c r="O110" i="3"/>
  <c r="AQ271" i="3"/>
  <c r="P105" i="3"/>
  <c r="AR252" i="3"/>
  <c r="AR272" i="3"/>
  <c r="Q101" i="3"/>
  <c r="AS248" i="3"/>
  <c r="S100" i="3"/>
  <c r="AV246" i="3"/>
  <c r="T100" i="3" s="1"/>
  <c r="AV281" i="3"/>
  <c r="T143" i="3" s="1"/>
  <c r="T90" i="3"/>
  <c r="T117" i="3"/>
  <c r="AV270" i="3"/>
  <c r="T122" i="3" s="1"/>
  <c r="AW238" i="3"/>
  <c r="AW277" i="3"/>
  <c r="U135" i="3"/>
  <c r="AW262" i="3"/>
  <c r="U115" i="3"/>
  <c r="AX237" i="3"/>
  <c r="V134" i="3"/>
  <c r="V89" i="3"/>
  <c r="AX260" i="3"/>
  <c r="V114" i="3"/>
  <c r="AY259" i="3"/>
  <c r="AY236" i="3"/>
  <c r="AZ234" i="3"/>
  <c r="AZ235" i="3" s="1"/>
  <c r="AZ283" i="3" s="1"/>
  <c r="CY281" i="1"/>
  <c r="CY246" i="1"/>
  <c r="CZ238" i="1"/>
  <c r="CZ277" i="1"/>
  <c r="DA236" i="1"/>
  <c r="DA259" i="1"/>
  <c r="DA260" i="1" s="1"/>
  <c r="DA262" i="1" s="1"/>
  <c r="DA270" i="1" s="1"/>
  <c r="DB234" i="1"/>
  <c r="DB235" i="1" s="1"/>
  <c r="DB283" i="1" s="1"/>
  <c r="CU252" i="1"/>
  <c r="CU256" i="1" s="1"/>
  <c r="CU271" i="1" s="1"/>
  <c r="CU272" i="1"/>
  <c r="CW247" i="1"/>
  <c r="CW248" i="1" s="1"/>
  <c r="CV249" i="1"/>
  <c r="BX281" i="1"/>
  <c r="BX246" i="1"/>
  <c r="BY237" i="1"/>
  <c r="BZ236" i="1"/>
  <c r="BZ237" i="1" s="1"/>
  <c r="BZ259" i="1"/>
  <c r="BZ260" i="1" s="1"/>
  <c r="BZ262" i="1" s="1"/>
  <c r="BZ270" i="1" s="1"/>
  <c r="CA234" i="1"/>
  <c r="CA235" i="1" s="1"/>
  <c r="CA283" i="1" s="1"/>
  <c r="BT252" i="1"/>
  <c r="BT256" i="1" s="1"/>
  <c r="BT271" i="1" s="1"/>
  <c r="BT272" i="1"/>
  <c r="BU249" i="1"/>
  <c r="BV247" i="1"/>
  <c r="BV248" i="1" s="1"/>
  <c r="AX237" i="1"/>
  <c r="AY236" i="1"/>
  <c r="AY259" i="1"/>
  <c r="AZ234" i="1"/>
  <c r="AZ235" i="1" s="1"/>
  <c r="AZ283" i="1" s="1"/>
  <c r="V135" i="1" l="1"/>
  <c r="CZ281" i="3"/>
  <c r="CZ246" i="3"/>
  <c r="DB259" i="3"/>
  <c r="DB260" i="3" s="1"/>
  <c r="DB262" i="3" s="1"/>
  <c r="DB270" i="3" s="1"/>
  <c r="DB236" i="3"/>
  <c r="DC234" i="3"/>
  <c r="DC235" i="3" s="1"/>
  <c r="DC283" i="3" s="1"/>
  <c r="DA238" i="3"/>
  <c r="DA277" i="3"/>
  <c r="AS249" i="1"/>
  <c r="Q105" i="1" s="1"/>
  <c r="AT247" i="1"/>
  <c r="CV252" i="3"/>
  <c r="CV256" i="3" s="1"/>
  <c r="CV271" i="3" s="1"/>
  <c r="CV272" i="3"/>
  <c r="CW249" i="3"/>
  <c r="CX247" i="3"/>
  <c r="CX248" i="3" s="1"/>
  <c r="AR256" i="1"/>
  <c r="P108" i="1"/>
  <c r="AW281" i="1"/>
  <c r="U143" i="1" s="1"/>
  <c r="AW246" i="1"/>
  <c r="U100" i="1" s="1"/>
  <c r="U117" i="1"/>
  <c r="AW270" i="1"/>
  <c r="U122" i="1" s="1"/>
  <c r="V115" i="1"/>
  <c r="AX262" i="1"/>
  <c r="AY237" i="1"/>
  <c r="W89" i="1"/>
  <c r="W134" i="1"/>
  <c r="AY260" i="1"/>
  <c r="W114" i="1"/>
  <c r="BY281" i="3"/>
  <c r="BY246" i="3"/>
  <c r="CB234" i="3"/>
  <c r="CB235" i="3" s="1"/>
  <c r="CB283" i="3" s="1"/>
  <c r="CA236" i="3"/>
  <c r="CA237" i="3" s="1"/>
  <c r="CA259" i="3"/>
  <c r="CA260" i="3" s="1"/>
  <c r="CA262" i="3" s="1"/>
  <c r="CA270" i="3" s="1"/>
  <c r="BZ238" i="3"/>
  <c r="BZ277" i="3"/>
  <c r="BU252" i="3"/>
  <c r="BU256" i="3" s="1"/>
  <c r="BU271" i="3" s="1"/>
  <c r="BU272" i="3"/>
  <c r="BV249" i="3"/>
  <c r="BW247" i="3"/>
  <c r="BW248" i="3" s="1"/>
  <c r="O123" i="3"/>
  <c r="P108" i="3"/>
  <c r="AR256" i="3"/>
  <c r="Q102" i="3"/>
  <c r="AS249" i="3"/>
  <c r="AT247" i="3"/>
  <c r="AW246" i="3"/>
  <c r="U100" i="3" s="1"/>
  <c r="AW281" i="3"/>
  <c r="U143" i="3" s="1"/>
  <c r="U90" i="3"/>
  <c r="U117" i="3"/>
  <c r="AW270" i="3"/>
  <c r="U122" i="3" s="1"/>
  <c r="AX238" i="3"/>
  <c r="AX277" i="3"/>
  <c r="V135" i="3"/>
  <c r="AX262" i="3"/>
  <c r="V115" i="3"/>
  <c r="AY260" i="3"/>
  <c r="W114" i="3"/>
  <c r="AY237" i="3"/>
  <c r="W134" i="3"/>
  <c r="W89" i="3"/>
  <c r="AZ236" i="3"/>
  <c r="AZ259" i="3"/>
  <c r="BA234" i="3"/>
  <c r="BA235" i="3" s="1"/>
  <c r="BA283" i="3" s="1"/>
  <c r="CZ281" i="1"/>
  <c r="CZ246" i="1"/>
  <c r="DA237" i="1"/>
  <c r="DB236" i="1"/>
  <c r="DB237" i="1" s="1"/>
  <c r="DB259" i="1"/>
  <c r="DB260" i="1" s="1"/>
  <c r="DB262" i="1" s="1"/>
  <c r="DB270" i="1" s="1"/>
  <c r="DC234" i="1"/>
  <c r="DC235" i="1" s="1"/>
  <c r="DC283" i="1" s="1"/>
  <c r="CW249" i="1"/>
  <c r="CX247" i="1"/>
  <c r="CX248" i="1" s="1"/>
  <c r="CV252" i="1"/>
  <c r="CV256" i="1" s="1"/>
  <c r="CV271" i="1" s="1"/>
  <c r="CV272" i="1"/>
  <c r="BY238" i="1"/>
  <c r="BY277" i="1"/>
  <c r="BZ238" i="1"/>
  <c r="BZ277" i="1"/>
  <c r="CA236" i="1"/>
  <c r="CA237" i="1" s="1"/>
  <c r="CA259" i="1"/>
  <c r="CA260" i="1" s="1"/>
  <c r="CA262" i="1" s="1"/>
  <c r="CA270" i="1" s="1"/>
  <c r="CB234" i="1"/>
  <c r="CB235" i="1" s="1"/>
  <c r="CB283" i="1" s="1"/>
  <c r="BU252" i="1"/>
  <c r="BU256" i="1" s="1"/>
  <c r="BU271" i="1" s="1"/>
  <c r="BU272" i="1"/>
  <c r="BV249" i="1"/>
  <c r="BW247" i="1"/>
  <c r="BW248" i="1" s="1"/>
  <c r="AX238" i="1"/>
  <c r="AX277" i="1"/>
  <c r="AZ236" i="1"/>
  <c r="AZ259" i="1"/>
  <c r="BA234" i="1"/>
  <c r="BA235" i="1" s="1"/>
  <c r="BA283" i="1" s="1"/>
  <c r="V90" i="1" l="1"/>
  <c r="R101" i="1"/>
  <c r="DB237" i="3"/>
  <c r="DC236" i="3"/>
  <c r="DC237" i="3" s="1"/>
  <c r="DC259" i="3"/>
  <c r="DC260" i="3" s="1"/>
  <c r="DC262" i="3" s="1"/>
  <c r="DC270" i="3" s="1"/>
  <c r="DD234" i="3"/>
  <c r="DA246" i="3"/>
  <c r="DA281" i="3"/>
  <c r="AT248" i="1"/>
  <c r="R102" i="1" s="1"/>
  <c r="AS272" i="1"/>
  <c r="AS252" i="1"/>
  <c r="CW252" i="3"/>
  <c r="CW256" i="3" s="1"/>
  <c r="CW271" i="3" s="1"/>
  <c r="CW272" i="3"/>
  <c r="CX249" i="3"/>
  <c r="CY247" i="3"/>
  <c r="CY248" i="3" s="1"/>
  <c r="AR271" i="1"/>
  <c r="P123" i="1" s="1"/>
  <c r="P110" i="1"/>
  <c r="W135" i="1"/>
  <c r="AY238" i="1"/>
  <c r="AY277" i="1"/>
  <c r="V117" i="1"/>
  <c r="AX270" i="1"/>
  <c r="V122" i="1" s="1"/>
  <c r="W115" i="1"/>
  <c r="AY262" i="1"/>
  <c r="AZ237" i="1"/>
  <c r="X135" i="1" s="1"/>
  <c r="X89" i="1"/>
  <c r="X134" i="1"/>
  <c r="AZ260" i="1"/>
  <c r="X114" i="1"/>
  <c r="CB259" i="3"/>
  <c r="CB260" i="3" s="1"/>
  <c r="CB262" i="3" s="1"/>
  <c r="CB270" i="3" s="1"/>
  <c r="CC234" i="3"/>
  <c r="CB236" i="3"/>
  <c r="CB237" i="3" s="1"/>
  <c r="CA238" i="3"/>
  <c r="CA277" i="3"/>
  <c r="BZ246" i="3"/>
  <c r="BZ281" i="3"/>
  <c r="BV252" i="3"/>
  <c r="BV256" i="3" s="1"/>
  <c r="BV271" i="3" s="1"/>
  <c r="BV272" i="3"/>
  <c r="BW249" i="3"/>
  <c r="BX247" i="3"/>
  <c r="BX248" i="3" s="1"/>
  <c r="P110" i="3"/>
  <c r="AR271" i="3"/>
  <c r="Q105" i="3"/>
  <c r="AS252" i="3"/>
  <c r="AS272" i="3"/>
  <c r="R101" i="3"/>
  <c r="AT248" i="3"/>
  <c r="AX281" i="3"/>
  <c r="V143" i="3" s="1"/>
  <c r="AX246" i="3"/>
  <c r="V90" i="3"/>
  <c r="V117" i="3"/>
  <c r="AX270" i="3"/>
  <c r="V122" i="3" s="1"/>
  <c r="AY262" i="3"/>
  <c r="W115" i="3"/>
  <c r="AY238" i="3"/>
  <c r="AY277" i="3"/>
  <c r="W135" i="3"/>
  <c r="AZ237" i="3"/>
  <c r="X134" i="3"/>
  <c r="X89" i="3"/>
  <c r="AZ260" i="3"/>
  <c r="X114" i="3"/>
  <c r="BA236" i="3"/>
  <c r="BA259" i="3"/>
  <c r="BB234" i="3"/>
  <c r="DA238" i="1"/>
  <c r="DA277" i="1"/>
  <c r="DB238" i="1"/>
  <c r="DB277" i="1"/>
  <c r="DC236" i="1"/>
  <c r="DC237" i="1" s="1"/>
  <c r="DC259" i="1"/>
  <c r="DC260" i="1" s="1"/>
  <c r="DC262" i="1" s="1"/>
  <c r="DC270" i="1" s="1"/>
  <c r="DD234" i="1"/>
  <c r="CW252" i="1"/>
  <c r="CW256" i="1" s="1"/>
  <c r="CW271" i="1" s="1"/>
  <c r="CW272" i="1"/>
  <c r="CX249" i="1"/>
  <c r="CY247" i="1"/>
  <c r="CY248" i="1" s="1"/>
  <c r="BY281" i="1"/>
  <c r="BY246" i="1"/>
  <c r="BZ281" i="1"/>
  <c r="BZ246" i="1"/>
  <c r="CA238" i="1"/>
  <c r="CA277" i="1"/>
  <c r="CB236" i="1"/>
  <c r="CB259" i="1"/>
  <c r="CB260" i="1" s="1"/>
  <c r="CB262" i="1" s="1"/>
  <c r="CB270" i="1" s="1"/>
  <c r="CC234" i="1"/>
  <c r="BV252" i="1"/>
  <c r="BV256" i="1" s="1"/>
  <c r="BV271" i="1" s="1"/>
  <c r="BV272" i="1"/>
  <c r="BX247" i="1"/>
  <c r="BX248" i="1" s="1"/>
  <c r="BW249" i="1"/>
  <c r="AX281" i="1"/>
  <c r="AX246" i="1"/>
  <c r="BA236" i="1"/>
  <c r="BA259" i="1"/>
  <c r="BB234" i="1"/>
  <c r="W90" i="1" l="1"/>
  <c r="V143" i="1"/>
  <c r="V100" i="1"/>
  <c r="AT249" i="1"/>
  <c r="R105" i="1" s="1"/>
  <c r="AU247" i="1"/>
  <c r="S101" i="1" s="1"/>
  <c r="Q108" i="1"/>
  <c r="DB277" i="3"/>
  <c r="DC238" i="3"/>
  <c r="DC277" i="3"/>
  <c r="DF234" i="3"/>
  <c r="DD235" i="3"/>
  <c r="DD283" i="3" s="1"/>
  <c r="DB238" i="3"/>
  <c r="AS256" i="1"/>
  <c r="CX252" i="3"/>
  <c r="CX256" i="3" s="1"/>
  <c r="CX271" i="3" s="1"/>
  <c r="CX272" i="3"/>
  <c r="CY249" i="3"/>
  <c r="CZ247" i="3"/>
  <c r="CZ248" i="3" s="1"/>
  <c r="AY281" i="1"/>
  <c r="AY246" i="1"/>
  <c r="AZ238" i="1"/>
  <c r="X90" i="1" s="1"/>
  <c r="AZ277" i="1"/>
  <c r="W117" i="1"/>
  <c r="AY270" i="1"/>
  <c r="W122" i="1" s="1"/>
  <c r="X115" i="1"/>
  <c r="AZ262" i="1"/>
  <c r="Y89" i="1"/>
  <c r="Y134" i="1"/>
  <c r="BA260" i="1"/>
  <c r="Y114" i="1"/>
  <c r="CC235" i="3"/>
  <c r="CC283" i="3" s="1"/>
  <c r="CE234" i="3"/>
  <c r="CB238" i="3"/>
  <c r="CB277" i="3"/>
  <c r="CA281" i="3"/>
  <c r="CA246" i="3"/>
  <c r="BW252" i="3"/>
  <c r="BW256" i="3" s="1"/>
  <c r="BW271" i="3" s="1"/>
  <c r="BW272" i="3"/>
  <c r="BX249" i="3"/>
  <c r="BY247" i="3"/>
  <c r="BY248" i="3" s="1"/>
  <c r="P123" i="3"/>
  <c r="Q108" i="3"/>
  <c r="AS256" i="3"/>
  <c r="R102" i="3"/>
  <c r="AT249" i="3"/>
  <c r="AU247" i="3"/>
  <c r="V100" i="3"/>
  <c r="W117" i="3"/>
  <c r="AY270" i="3"/>
  <c r="W122" i="3" s="1"/>
  <c r="AY246" i="3"/>
  <c r="W100" i="3" s="1"/>
  <c r="AY281" i="3"/>
  <c r="W143" i="3" s="1"/>
  <c r="W90" i="3"/>
  <c r="AZ238" i="3"/>
  <c r="AZ277" i="3"/>
  <c r="X135" i="3"/>
  <c r="AZ262" i="3"/>
  <c r="X115" i="3"/>
  <c r="BA237" i="3"/>
  <c r="Y134" i="3"/>
  <c r="Y89" i="3"/>
  <c r="BA260" i="3"/>
  <c r="Y114" i="3"/>
  <c r="BD234" i="3"/>
  <c r="BB235" i="3"/>
  <c r="BB283" i="3" s="1"/>
  <c r="DA281" i="1"/>
  <c r="DA246" i="1"/>
  <c r="DB281" i="1"/>
  <c r="DB246" i="1"/>
  <c r="DC238" i="1"/>
  <c r="DC277" i="1"/>
  <c r="DF234" i="1"/>
  <c r="DD235" i="1"/>
  <c r="DD283" i="1" s="1"/>
  <c r="CX252" i="1"/>
  <c r="CX256" i="1" s="1"/>
  <c r="CX271" i="1" s="1"/>
  <c r="CX272" i="1"/>
  <c r="CY249" i="1"/>
  <c r="CZ247" i="1"/>
  <c r="CZ248" i="1" s="1"/>
  <c r="CA281" i="1"/>
  <c r="CA246" i="1"/>
  <c r="CB237" i="1"/>
  <c r="CE234" i="1"/>
  <c r="CC235" i="1"/>
  <c r="CC283" i="1" s="1"/>
  <c r="BX249" i="1"/>
  <c r="BY247" i="1"/>
  <c r="BY248" i="1" s="1"/>
  <c r="BW252" i="1"/>
  <c r="BW256" i="1" s="1"/>
  <c r="BW271" i="1" s="1"/>
  <c r="BW272" i="1"/>
  <c r="BA237" i="1"/>
  <c r="BD234" i="1"/>
  <c r="BB235" i="1"/>
  <c r="BB283" i="1" s="1"/>
  <c r="Y135" i="1" l="1"/>
  <c r="AU248" i="1"/>
  <c r="S102" i="1" s="1"/>
  <c r="AT272" i="1"/>
  <c r="AT252" i="1"/>
  <c r="R108" i="1" s="1"/>
  <c r="Q110" i="1"/>
  <c r="C164" i="1"/>
  <c r="W164" i="1" s="1"/>
  <c r="DC246" i="3"/>
  <c r="DF235" i="3"/>
  <c r="DD259" i="3"/>
  <c r="DD236" i="3"/>
  <c r="DC281" i="3"/>
  <c r="DB246" i="3"/>
  <c r="DB281" i="3"/>
  <c r="C164" i="3"/>
  <c r="W164" i="3" s="1"/>
  <c r="AS271" i="1"/>
  <c r="Q123" i="1" s="1"/>
  <c r="CY252" i="3"/>
  <c r="CY256" i="3" s="1"/>
  <c r="CY271" i="3" s="1"/>
  <c r="CY272" i="3"/>
  <c r="CZ249" i="3"/>
  <c r="DA247" i="3"/>
  <c r="DA248" i="3" s="1"/>
  <c r="W143" i="1"/>
  <c r="W100" i="1"/>
  <c r="AZ246" i="1"/>
  <c r="AZ281" i="1"/>
  <c r="X117" i="1"/>
  <c r="AZ270" i="1"/>
  <c r="X122" i="1" s="1"/>
  <c r="Y115" i="1"/>
  <c r="BA262" i="1"/>
  <c r="CE235" i="3"/>
  <c r="CC236" i="3"/>
  <c r="CC259" i="3"/>
  <c r="CB246" i="3"/>
  <c r="CB281" i="3"/>
  <c r="BX252" i="3"/>
  <c r="BX256" i="3" s="1"/>
  <c r="BX271" i="3" s="1"/>
  <c r="BX272" i="3"/>
  <c r="BY249" i="3"/>
  <c r="BZ247" i="3"/>
  <c r="BZ248" i="3" s="1"/>
  <c r="Q110" i="3"/>
  <c r="AS271" i="3"/>
  <c r="R105" i="3"/>
  <c r="AT252" i="3"/>
  <c r="AT272" i="3"/>
  <c r="S101" i="3"/>
  <c r="AU248" i="3"/>
  <c r="AZ281" i="3"/>
  <c r="AZ246" i="3"/>
  <c r="X90" i="3"/>
  <c r="X117" i="3"/>
  <c r="AZ270" i="3"/>
  <c r="X122" i="3" s="1"/>
  <c r="BA238" i="3"/>
  <c r="BA277" i="3"/>
  <c r="Y135" i="3"/>
  <c r="BA262" i="3"/>
  <c r="Y115" i="3"/>
  <c r="BD235" i="3"/>
  <c r="BB259" i="3"/>
  <c r="BB236" i="3"/>
  <c r="DC281" i="1"/>
  <c r="DC246" i="1"/>
  <c r="DF235" i="1"/>
  <c r="DD236" i="1"/>
  <c r="DD259" i="1"/>
  <c r="CY252" i="1"/>
  <c r="CY256" i="1" s="1"/>
  <c r="CY271" i="1" s="1"/>
  <c r="CY272" i="1"/>
  <c r="CZ249" i="1"/>
  <c r="DA247" i="1"/>
  <c r="DA248" i="1" s="1"/>
  <c r="CB238" i="1"/>
  <c r="CB277" i="1"/>
  <c r="CE235" i="1"/>
  <c r="CC236" i="1"/>
  <c r="CC259" i="1"/>
  <c r="BX252" i="1"/>
  <c r="BX256" i="1" s="1"/>
  <c r="BX271" i="1" s="1"/>
  <c r="BX272" i="1"/>
  <c r="BZ247" i="1"/>
  <c r="BZ248" i="1" s="1"/>
  <c r="BY249" i="1"/>
  <c r="BA238" i="1"/>
  <c r="BA277" i="1"/>
  <c r="BD235" i="1"/>
  <c r="BB236" i="1"/>
  <c r="BB259" i="1"/>
  <c r="X143" i="3" l="1"/>
  <c r="X100" i="3"/>
  <c r="X143" i="1"/>
  <c r="AU249" i="1"/>
  <c r="S105" i="1" s="1"/>
  <c r="AV247" i="1"/>
  <c r="T101" i="1" s="1"/>
  <c r="Y90" i="1"/>
  <c r="AT256" i="1"/>
  <c r="AU272" i="1"/>
  <c r="AU252" i="1"/>
  <c r="DF236" i="3"/>
  <c r="DD260" i="3"/>
  <c r="DF259" i="3"/>
  <c r="DD237" i="3"/>
  <c r="CZ252" i="3"/>
  <c r="CZ256" i="3" s="1"/>
  <c r="CZ271" i="3" s="1"/>
  <c r="CZ272" i="3"/>
  <c r="DA249" i="3"/>
  <c r="DB247" i="3"/>
  <c r="DB248" i="3" s="1"/>
  <c r="X100" i="1"/>
  <c r="Z114" i="1"/>
  <c r="Y117" i="1"/>
  <c r="BA270" i="1"/>
  <c r="Y122" i="1" s="1"/>
  <c r="Z89" i="1"/>
  <c r="Z134" i="1"/>
  <c r="CE236" i="3"/>
  <c r="CC237" i="3"/>
  <c r="CC260" i="3"/>
  <c r="CE259" i="3"/>
  <c r="BY252" i="3"/>
  <c r="BY256" i="3" s="1"/>
  <c r="BY271" i="3" s="1"/>
  <c r="BY272" i="3"/>
  <c r="BZ249" i="3"/>
  <c r="CA247" i="3"/>
  <c r="CA248" i="3" s="1"/>
  <c r="Q123" i="3"/>
  <c r="R108" i="3"/>
  <c r="AT256" i="3"/>
  <c r="S102" i="3"/>
  <c r="AU249" i="3"/>
  <c r="AV247" i="3"/>
  <c r="BA246" i="3"/>
  <c r="BA281" i="3"/>
  <c r="Y143" i="3" s="1"/>
  <c r="Y90" i="3"/>
  <c r="Y117" i="3"/>
  <c r="BA270" i="3"/>
  <c r="Y122" i="3" s="1"/>
  <c r="BB260" i="3"/>
  <c r="Z114" i="3"/>
  <c r="BD259" i="3"/>
  <c r="BD236" i="3"/>
  <c r="BB237" i="3"/>
  <c r="Z134" i="3"/>
  <c r="Z89" i="3"/>
  <c r="DF236" i="1"/>
  <c r="DD237" i="1"/>
  <c r="DD260" i="1"/>
  <c r="DF259" i="1"/>
  <c r="CZ252" i="1"/>
  <c r="CZ256" i="1" s="1"/>
  <c r="CZ271" i="1" s="1"/>
  <c r="CZ272" i="1"/>
  <c r="DA249" i="1"/>
  <c r="DB247" i="1"/>
  <c r="DB248" i="1" s="1"/>
  <c r="CB281" i="1"/>
  <c r="CB246" i="1"/>
  <c r="CE236" i="1"/>
  <c r="CC237" i="1"/>
  <c r="CC260" i="1"/>
  <c r="CE259" i="1"/>
  <c r="BZ249" i="1"/>
  <c r="CA247" i="1"/>
  <c r="CA248" i="1" s="1"/>
  <c r="BY252" i="1"/>
  <c r="BY256" i="1" s="1"/>
  <c r="BY271" i="1" s="1"/>
  <c r="BY272" i="1"/>
  <c r="BA281" i="1"/>
  <c r="BA246" i="1"/>
  <c r="BD236" i="1"/>
  <c r="BB237" i="1"/>
  <c r="BB260" i="1"/>
  <c r="BD259" i="1"/>
  <c r="AV248" i="1" l="1"/>
  <c r="T102" i="1" s="1"/>
  <c r="R110" i="1"/>
  <c r="S108" i="1"/>
  <c r="Y100" i="1"/>
  <c r="Y143" i="1"/>
  <c r="AT271" i="1"/>
  <c r="R123" i="1" s="1"/>
  <c r="AU256" i="1"/>
  <c r="AV249" i="1"/>
  <c r="T105" i="1" s="1"/>
  <c r="DF237" i="3"/>
  <c r="DF260" i="3"/>
  <c r="DD262" i="3"/>
  <c r="DD238" i="3"/>
  <c r="DD277" i="3"/>
  <c r="DF277" i="3" s="1"/>
  <c r="AC114" i="3"/>
  <c r="DA252" i="3"/>
  <c r="DA256" i="3" s="1"/>
  <c r="DA271" i="3" s="1"/>
  <c r="DA272" i="3"/>
  <c r="DB249" i="3"/>
  <c r="DC247" i="3"/>
  <c r="DC248" i="3" s="1"/>
  <c r="Z135" i="1"/>
  <c r="Z115" i="1"/>
  <c r="AC114" i="1"/>
  <c r="AC89" i="1"/>
  <c r="AC134" i="1"/>
  <c r="CE237" i="3"/>
  <c r="CC238" i="3"/>
  <c r="CC277" i="3"/>
  <c r="CE277" i="3" s="1"/>
  <c r="CC262" i="3"/>
  <c r="CE260" i="3"/>
  <c r="BZ252" i="3"/>
  <c r="BZ256" i="3" s="1"/>
  <c r="BZ271" i="3" s="1"/>
  <c r="BZ272" i="3"/>
  <c r="CA249" i="3"/>
  <c r="CB247" i="3"/>
  <c r="CB248" i="3" s="1"/>
  <c r="R110" i="3"/>
  <c r="AT271" i="3"/>
  <c r="S105" i="3"/>
  <c r="AU252" i="3"/>
  <c r="AU272" i="3"/>
  <c r="T101" i="3"/>
  <c r="AV248" i="3"/>
  <c r="Y100" i="3"/>
  <c r="BB262" i="3"/>
  <c r="BD260" i="3"/>
  <c r="Z115" i="3"/>
  <c r="AC89" i="3"/>
  <c r="AC134" i="3"/>
  <c r="BD237" i="3"/>
  <c r="BB238" i="3"/>
  <c r="BB277" i="3"/>
  <c r="Z135" i="3"/>
  <c r="DF237" i="1"/>
  <c r="DD238" i="1"/>
  <c r="DD277" i="1"/>
  <c r="DF277" i="1" s="1"/>
  <c r="DD262" i="1"/>
  <c r="DF260" i="1"/>
  <c r="DA252" i="1"/>
  <c r="DA256" i="1" s="1"/>
  <c r="DA271" i="1" s="1"/>
  <c r="DA272" i="1"/>
  <c r="DB249" i="1"/>
  <c r="DC247" i="1"/>
  <c r="DC248" i="1" s="1"/>
  <c r="CE237" i="1"/>
  <c r="CC238" i="1"/>
  <c r="CC277" i="1"/>
  <c r="CE277" i="1" s="1"/>
  <c r="CC262" i="1"/>
  <c r="CE260" i="1"/>
  <c r="BZ252" i="1"/>
  <c r="BZ256" i="1" s="1"/>
  <c r="BZ271" i="1" s="1"/>
  <c r="BZ272" i="1"/>
  <c r="CB247" i="1"/>
  <c r="CB248" i="1" s="1"/>
  <c r="CA249" i="1"/>
  <c r="BD237" i="1"/>
  <c r="BB238" i="1"/>
  <c r="BB277" i="1"/>
  <c r="BB262" i="1"/>
  <c r="BD260" i="1"/>
  <c r="AW247" i="1" l="1"/>
  <c r="S110" i="1"/>
  <c r="AC135" i="3"/>
  <c r="AC115" i="3"/>
  <c r="AU271" i="1"/>
  <c r="S123" i="1" s="1"/>
  <c r="U101" i="1"/>
  <c r="AW248" i="1"/>
  <c r="AV252" i="1"/>
  <c r="AV272" i="1"/>
  <c r="T108" i="1"/>
  <c r="DF238" i="3"/>
  <c r="DF281" i="3"/>
  <c r="DD270" i="3"/>
  <c r="DF270" i="3" s="1"/>
  <c r="DF262" i="3"/>
  <c r="DD246" i="3"/>
  <c r="DF246" i="3" s="1"/>
  <c r="DD281" i="3"/>
  <c r="DB252" i="3"/>
  <c r="DB256" i="3" s="1"/>
  <c r="DB271" i="3" s="1"/>
  <c r="DB272" i="3"/>
  <c r="DC249" i="3"/>
  <c r="DD247" i="3"/>
  <c r="Z117" i="1"/>
  <c r="AC135" i="1"/>
  <c r="Z90" i="1"/>
  <c r="AC115" i="1"/>
  <c r="CE238" i="3"/>
  <c r="CE281" i="3"/>
  <c r="CC246" i="3"/>
  <c r="CE246" i="3" s="1"/>
  <c r="CC281" i="3"/>
  <c r="CE262" i="3"/>
  <c r="CC270" i="3"/>
  <c r="CE270" i="3" s="1"/>
  <c r="CA252" i="3"/>
  <c r="CA256" i="3" s="1"/>
  <c r="CA271" i="3" s="1"/>
  <c r="CA272" i="3"/>
  <c r="CB249" i="3"/>
  <c r="CC247" i="3"/>
  <c r="R123" i="3"/>
  <c r="S108" i="3"/>
  <c r="AU256" i="3"/>
  <c r="T102" i="3"/>
  <c r="AV249" i="3"/>
  <c r="AW247" i="3"/>
  <c r="Z117" i="3"/>
  <c r="BD262" i="3"/>
  <c r="BB270" i="3"/>
  <c r="BD238" i="3"/>
  <c r="BD281" i="3"/>
  <c r="BB281" i="3"/>
  <c r="BB246" i="3"/>
  <c r="Z90" i="3"/>
  <c r="BD277" i="3"/>
  <c r="C162" i="3"/>
  <c r="W162" i="3" s="1"/>
  <c r="DF238" i="1"/>
  <c r="DF281" i="1"/>
  <c r="DD281" i="1"/>
  <c r="DD246" i="1"/>
  <c r="DF246" i="1" s="1"/>
  <c r="DF262" i="1"/>
  <c r="DD270" i="1"/>
  <c r="DF270" i="1" s="1"/>
  <c r="DB252" i="1"/>
  <c r="DB256" i="1" s="1"/>
  <c r="DB271" i="1" s="1"/>
  <c r="DB272" i="1"/>
  <c r="DD247" i="1"/>
  <c r="DC249" i="1"/>
  <c r="CE238" i="1"/>
  <c r="CE281" i="1"/>
  <c r="CC281" i="1"/>
  <c r="CC246" i="1"/>
  <c r="CE246" i="1" s="1"/>
  <c r="CE262" i="1"/>
  <c r="CC270" i="1"/>
  <c r="CE270" i="1" s="1"/>
  <c r="CB249" i="1"/>
  <c r="CC247" i="1"/>
  <c r="CA252" i="1"/>
  <c r="CA256" i="1" s="1"/>
  <c r="CA271" i="1" s="1"/>
  <c r="CA272" i="1"/>
  <c r="BD238" i="1"/>
  <c r="BD281" i="1"/>
  <c r="BB281" i="1"/>
  <c r="BB246" i="1"/>
  <c r="BD277" i="1"/>
  <c r="C162" i="1"/>
  <c r="W162" i="1" s="1"/>
  <c r="BD262" i="1"/>
  <c r="BB270" i="1"/>
  <c r="AC117" i="3" l="1"/>
  <c r="AC117" i="1"/>
  <c r="AV256" i="1"/>
  <c r="T110" i="1" s="1"/>
  <c r="AC90" i="3"/>
  <c r="AC143" i="3"/>
  <c r="Z143" i="3"/>
  <c r="AX247" i="1"/>
  <c r="AW249" i="1"/>
  <c r="U102" i="1"/>
  <c r="DC252" i="3"/>
  <c r="DC256" i="3" s="1"/>
  <c r="DC271" i="3" s="1"/>
  <c r="DC272" i="3"/>
  <c r="DF247" i="3"/>
  <c r="DD248" i="3"/>
  <c r="AC90" i="1"/>
  <c r="AC143" i="1"/>
  <c r="Z143" i="1"/>
  <c r="BD246" i="1"/>
  <c r="AC100" i="1" s="1"/>
  <c r="Z100" i="1"/>
  <c r="BD270" i="1"/>
  <c r="AC122" i="1" s="1"/>
  <c r="Z122" i="1"/>
  <c r="CB252" i="3"/>
  <c r="CB256" i="3" s="1"/>
  <c r="CB271" i="3" s="1"/>
  <c r="CB272" i="3"/>
  <c r="CE247" i="3"/>
  <c r="CC248" i="3"/>
  <c r="S110" i="3"/>
  <c r="AU271" i="3"/>
  <c r="T105" i="3"/>
  <c r="AV252" i="3"/>
  <c r="AV272" i="3"/>
  <c r="U101" i="3"/>
  <c r="AW248" i="3"/>
  <c r="Z122" i="3"/>
  <c r="BD270" i="3"/>
  <c r="AC122" i="3" s="1"/>
  <c r="BD246" i="3"/>
  <c r="AC100" i="3" s="1"/>
  <c r="Z100" i="3"/>
  <c r="DD248" i="1"/>
  <c r="R44" i="1" s="1"/>
  <c r="DF247" i="1"/>
  <c r="DC252" i="1"/>
  <c r="DC256" i="1" s="1"/>
  <c r="DC271" i="1" s="1"/>
  <c r="DC272" i="1"/>
  <c r="CB252" i="1"/>
  <c r="CB256" i="1" s="1"/>
  <c r="CB271" i="1" s="1"/>
  <c r="CB272" i="1"/>
  <c r="CE247" i="1"/>
  <c r="CC248" i="1"/>
  <c r="K44" i="1" s="1"/>
  <c r="AV271" i="1" l="1"/>
  <c r="T123" i="1" s="1"/>
  <c r="V101" i="1"/>
  <c r="AX248" i="1"/>
  <c r="AW272" i="1"/>
  <c r="AW252" i="1"/>
  <c r="U105" i="1"/>
  <c r="DF248" i="3"/>
  <c r="DD249" i="3"/>
  <c r="R44" i="3"/>
  <c r="K44" i="3"/>
  <c r="CE248" i="3"/>
  <c r="CC249" i="3"/>
  <c r="S123" i="3"/>
  <c r="T108" i="3"/>
  <c r="AV256" i="3"/>
  <c r="U102" i="3"/>
  <c r="AW249" i="3"/>
  <c r="AX247" i="3"/>
  <c r="DF248" i="1"/>
  <c r="DD249" i="1"/>
  <c r="CE248" i="1"/>
  <c r="CC249" i="1"/>
  <c r="V102" i="1" l="1"/>
  <c r="AY247" i="1"/>
  <c r="AX249" i="1"/>
  <c r="AW256" i="1"/>
  <c r="U108" i="1"/>
  <c r="DF249" i="3"/>
  <c r="DD252" i="3"/>
  <c r="DD272" i="3"/>
  <c r="DF272" i="3" s="1"/>
  <c r="CE249" i="3"/>
  <c r="CC252" i="3"/>
  <c r="CC272" i="3"/>
  <c r="CE272" i="3" s="1"/>
  <c r="T110" i="3"/>
  <c r="AV271" i="3"/>
  <c r="U105" i="3"/>
  <c r="AW252" i="3"/>
  <c r="AW272" i="3"/>
  <c r="V101" i="3"/>
  <c r="AX248" i="3"/>
  <c r="DF249" i="1"/>
  <c r="DD252" i="1"/>
  <c r="DD272" i="1"/>
  <c r="DF272" i="1" s="1"/>
  <c r="CE249" i="1"/>
  <c r="CC252" i="1"/>
  <c r="CC272" i="1"/>
  <c r="CE272" i="1" s="1"/>
  <c r="W101" i="1" l="1"/>
  <c r="AY248" i="1"/>
  <c r="V105" i="1"/>
  <c r="AX252" i="1"/>
  <c r="AX272" i="1"/>
  <c r="AW271" i="1"/>
  <c r="U123" i="1" s="1"/>
  <c r="U110" i="1"/>
  <c r="DF252" i="3"/>
  <c r="DD256" i="3"/>
  <c r="CE252" i="3"/>
  <c r="CC256" i="3"/>
  <c r="T123" i="3"/>
  <c r="U108" i="3"/>
  <c r="AW256" i="3"/>
  <c r="V102" i="3"/>
  <c r="AX249" i="3"/>
  <c r="AY247" i="3"/>
  <c r="DF252" i="1"/>
  <c r="DD256" i="1"/>
  <c r="CE252" i="1"/>
  <c r="CC256" i="1"/>
  <c r="W102" i="1" l="1"/>
  <c r="AZ247" i="1"/>
  <c r="AY249" i="1"/>
  <c r="AX256" i="1"/>
  <c r="V108" i="1"/>
  <c r="DF256" i="3"/>
  <c r="DD271" i="3"/>
  <c r="DF271" i="3" s="1"/>
  <c r="CC271" i="3"/>
  <c r="CE271" i="3" s="1"/>
  <c r="CE256" i="3"/>
  <c r="U110" i="3"/>
  <c r="AW271" i="3"/>
  <c r="V105" i="3"/>
  <c r="AX252" i="3"/>
  <c r="AX272" i="3"/>
  <c r="W101" i="3"/>
  <c r="AY248" i="3"/>
  <c r="DF256" i="1"/>
  <c r="DD271" i="1"/>
  <c r="DF271" i="1" s="1"/>
  <c r="CE256" i="1"/>
  <c r="CC271" i="1"/>
  <c r="CE271" i="1" s="1"/>
  <c r="AZ248" i="1" l="1"/>
  <c r="X101" i="1"/>
  <c r="AY272" i="1"/>
  <c r="AY252" i="1"/>
  <c r="W105" i="1"/>
  <c r="AX271" i="1"/>
  <c r="V123" i="1" s="1"/>
  <c r="V110" i="1"/>
  <c r="U123" i="3"/>
  <c r="V108" i="3"/>
  <c r="AX256" i="3"/>
  <c r="W102" i="3"/>
  <c r="AY249" i="3"/>
  <c r="AZ247" i="3"/>
  <c r="X102" i="1" l="1"/>
  <c r="BA247" i="1"/>
  <c r="AZ249" i="1"/>
  <c r="AY256" i="1"/>
  <c r="W108" i="1"/>
  <c r="V110" i="3"/>
  <c r="AX271" i="3"/>
  <c r="W105" i="3"/>
  <c r="AY252" i="3"/>
  <c r="AY272" i="3"/>
  <c r="X101" i="3"/>
  <c r="AZ248" i="3"/>
  <c r="Y101" i="1" l="1"/>
  <c r="BA248" i="1"/>
  <c r="AZ252" i="1"/>
  <c r="X105" i="1"/>
  <c r="AZ272" i="1"/>
  <c r="AY271" i="1"/>
  <c r="W123" i="1" s="1"/>
  <c r="W110" i="1"/>
  <c r="V123" i="3"/>
  <c r="W108" i="3"/>
  <c r="AY256" i="3"/>
  <c r="X102" i="3"/>
  <c r="AZ249" i="3"/>
  <c r="BA247" i="3"/>
  <c r="BB247" i="1" l="1"/>
  <c r="Y102" i="1"/>
  <c r="BA249" i="1"/>
  <c r="X108" i="1"/>
  <c r="AZ256" i="1"/>
  <c r="W110" i="3"/>
  <c r="AY271" i="3"/>
  <c r="X105" i="3"/>
  <c r="AZ252" i="3"/>
  <c r="AZ272" i="3"/>
  <c r="Y101" i="3"/>
  <c r="BA248" i="3"/>
  <c r="BB248" i="1" l="1"/>
  <c r="Z101" i="1"/>
  <c r="BD247" i="1"/>
  <c r="AC101" i="1" s="1"/>
  <c r="Y105" i="1"/>
  <c r="BA252" i="1"/>
  <c r="BA272" i="1"/>
  <c r="X110" i="1"/>
  <c r="AZ271" i="1"/>
  <c r="X123" i="1" s="1"/>
  <c r="W123" i="3"/>
  <c r="X108" i="3"/>
  <c r="AZ256" i="3"/>
  <c r="Y102" i="3"/>
  <c r="BA249" i="3"/>
  <c r="BB247" i="3"/>
  <c r="Z102" i="1" l="1"/>
  <c r="C11" i="1"/>
  <c r="BB249" i="1"/>
  <c r="BD248" i="1"/>
  <c r="AC102" i="1" s="1"/>
  <c r="C44" i="1"/>
  <c r="Y108" i="1"/>
  <c r="BA256" i="1"/>
  <c r="X110" i="3"/>
  <c r="AZ271" i="3"/>
  <c r="Y105" i="3"/>
  <c r="BA252" i="3"/>
  <c r="BA272" i="3"/>
  <c r="Z101" i="3"/>
  <c r="BD247" i="3"/>
  <c r="AC101" i="3" s="1"/>
  <c r="BB248" i="3"/>
  <c r="BD249" i="1" l="1"/>
  <c r="AC105" i="1" s="1"/>
  <c r="Z105" i="1"/>
  <c r="BB252" i="1"/>
  <c r="BB272" i="1"/>
  <c r="Y110" i="1"/>
  <c r="BA271" i="1"/>
  <c r="Y123" i="1" s="1"/>
  <c r="X123" i="3"/>
  <c r="Y108" i="3"/>
  <c r="BA256" i="3"/>
  <c r="C11" i="3"/>
  <c r="C44" i="3"/>
  <c r="Z102" i="3"/>
  <c r="BD248" i="3"/>
  <c r="AC102" i="3" s="1"/>
  <c r="BB249" i="3"/>
  <c r="Z108" i="1" l="1"/>
  <c r="BD252" i="1"/>
  <c r="AC108" i="1" s="1"/>
  <c r="BB256" i="1"/>
  <c r="C155" i="1"/>
  <c r="BD272" i="1"/>
  <c r="Y110" i="3"/>
  <c r="BA271" i="3"/>
  <c r="Z105" i="3"/>
  <c r="BD249" i="3"/>
  <c r="AC105" i="3" s="1"/>
  <c r="BB252" i="3"/>
  <c r="BB272" i="3"/>
  <c r="W155" i="1" l="1"/>
  <c r="BD256" i="1"/>
  <c r="AC110" i="1" s="1"/>
  <c r="Z110" i="1"/>
  <c r="BB271" i="1"/>
  <c r="Y123" i="3"/>
  <c r="Z108" i="3"/>
  <c r="BD252" i="3"/>
  <c r="AC108" i="3" s="1"/>
  <c r="BB256" i="3"/>
  <c r="BD272" i="3"/>
  <c r="C155" i="3"/>
  <c r="W155" i="3" l="1"/>
  <c r="BD271" i="1"/>
  <c r="AC123" i="1" s="1"/>
  <c r="Z123" i="1"/>
  <c r="C156" i="1"/>
  <c r="Z110" i="3"/>
  <c r="BD256" i="3"/>
  <c r="AC110" i="3" s="1"/>
  <c r="BB271" i="3"/>
  <c r="W156" i="1" l="1"/>
  <c r="BD271" i="3"/>
  <c r="AC123" i="3" s="1"/>
  <c r="C156" i="3"/>
  <c r="Z123" i="3"/>
  <c r="C165" i="1" l="1"/>
  <c r="W156" i="3"/>
  <c r="C165"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Liam Collier</author>
  </authors>
  <commentList>
    <comment ref="B142" authorId="0" shapeId="0" xr:uid="{6AF182FC-87D7-D248-9A58-31A1125C513C}">
      <text>
        <r>
          <rPr>
            <b/>
            <sz val="10"/>
            <color rgb="FF000000"/>
            <rFont val="Tahoma"/>
            <family val="2"/>
          </rPr>
          <t>Liam Collier:</t>
        </r>
        <r>
          <rPr>
            <sz val="10"/>
            <color rgb="FF000000"/>
            <rFont val="Tahoma"/>
            <family val="2"/>
          </rPr>
          <t xml:space="preserve">
Leverage on an annualised EBITDA basis. Months 1–11 annualise the EBITDA earned so far (run-rate × 12 ÷ months elapsed); from month 12 it is a true trailing-twelve-month (TTM) figure. Early months are sensitive to start-up timing — read the trend, not a single month.</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Liam Collier</author>
  </authors>
  <commentList>
    <comment ref="B142" authorId="0" shapeId="0" xr:uid="{C04BB395-A7F9-444E-A656-F64244F44389}">
      <text>
        <r>
          <rPr>
            <b/>
            <sz val="10"/>
            <color rgb="FF000000"/>
            <rFont val="Tahoma"/>
            <family val="2"/>
          </rPr>
          <t>Liam Collier:</t>
        </r>
        <r>
          <rPr>
            <sz val="10"/>
            <color rgb="FF000000"/>
            <rFont val="Tahoma"/>
            <family val="2"/>
          </rPr>
          <t xml:space="preserve">
Leverage on an annualised EBITDA basis. Months 1–11 annualise the EBITDA earned so far (run-rate × 12 ÷ months elapsed); from month 12 it is a true trailing-twelve-month (TTM) figure. Early months are sensitive to start-up timing — read the trend, not a single month.</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<sst xmlns="http://schemas.openxmlformats.org/spreadsheetml/2006/main" count="1349" uniqueCount="446">
  <si>
    <t>Three-Statement Operating Model</t>
  </si>
  <si>
    <t>SCENARIO</t>
  </si>
  <si>
    <t>Base</t>
  </si>
  <si>
    <t>VIEW</t>
  </si>
  <si>
    <t>All Three</t>
  </si>
  <si>
    <t>HORIZON</t>
  </si>
  <si>
    <t>LEGEND</t>
  </si>
  <si>
    <t>Input</t>
  </si>
  <si>
    <t>Formula</t>
  </si>
  <si>
    <t>Override</t>
  </si>
  <si>
    <t>Reference</t>
  </si>
  <si>
    <t>REVENUE (Y1)</t>
  </si>
  <si>
    <t>EBITDA (Y1)</t>
  </si>
  <si>
    <t>EBITDA %</t>
  </si>
  <si>
    <t>NET PROFIT (Y1)</t>
  </si>
  <si>
    <t>12-month total under the active scenario.</t>
  </si>
  <si>
    <t>Operating profit before D&amp;A, interest, tax.</t>
  </si>
  <si>
    <t>Y1 EBITDA / Y1 revenue.</t>
  </si>
  <si>
    <t>After interest, tax.</t>
  </si>
  <si>
    <t>CLOSING CASH (year-end)</t>
  </si>
  <si>
    <t>YEAR-END DEBT</t>
  </si>
  <si>
    <t>YEAR-END EQUITY</t>
  </si>
  <si>
    <t>PEAK WORKING CAPITAL (Y1)</t>
  </si>
  <si>
    <t>Cash at end of projection horizon.</t>
  </si>
  <si>
    <t>Interest-bearing debt at horizon end.</t>
  </si>
  <si>
    <t>Share capital + retained earnings.</t>
  </si>
  <si>
    <t>Highest (AR − AP) within Y1.</t>
  </si>
  <si>
    <t>OPERATING STORY · the first 15 seconds</t>
  </si>
  <si>
    <t>CASH TRAJECTORY · closing cash vs revenue</t>
  </si>
  <si>
    <t>SCENARIO COMPARISON · base / downside / upside</t>
  </si>
  <si>
    <t>CAPITAL STRUCTURE · debt vs equity build</t>
  </si>
  <si>
    <t>SCENARIO COMPARISON · YEAR-1 ANNUAL</t>
  </si>
  <si>
    <t>Each scenario fully integrated through P&amp;L, CF, BS.</t>
  </si>
  <si>
    <t>Metric</t>
  </si>
  <si>
    <t>BASE</t>
  </si>
  <si>
    <t>DOWNSIDE</t>
  </si>
  <si>
    <t>UPSIDE</t>
  </si>
  <si>
    <t>Revenue (Y1)</t>
  </si>
  <si>
    <t>Year-end cash</t>
  </si>
  <si>
    <t>Year-end debt</t>
  </si>
  <si>
    <t>Year-end equity</t>
  </si>
  <si>
    <t>Y1 total</t>
  </si>
  <si>
    <t>WORKING CAPITAL CASCADE</t>
  </si>
  <si>
    <t>AR + AP + other WC = cash drain or benefit from working capital each month.</t>
  </si>
  <si>
    <t>M1</t>
  </si>
  <si>
    <t>M2</t>
  </si>
  <si>
    <t>M3</t>
  </si>
  <si>
    <t>M4</t>
  </si>
  <si>
    <t>M5</t>
  </si>
  <si>
    <t>M6</t>
  </si>
  <si>
    <t>M7</t>
  </si>
  <si>
    <t>M8</t>
  </si>
  <si>
    <t>M9</t>
  </si>
  <si>
    <t>M10</t>
  </si>
  <si>
    <t>M11</t>
  </si>
  <si>
    <t>M12</t>
  </si>
  <si>
    <t>M13</t>
  </si>
  <si>
    <t>M14</t>
  </si>
  <si>
    <t>M15</t>
  </si>
  <si>
    <t>M16</t>
  </si>
  <si>
    <t>M17</t>
  </si>
  <si>
    <t>M18</t>
  </si>
  <si>
    <t>M19</t>
  </si>
  <si>
    <t>M20</t>
  </si>
  <si>
    <t>M21</t>
  </si>
  <si>
    <t>M22</t>
  </si>
  <si>
    <t>M23</t>
  </si>
  <si>
    <t>M24</t>
  </si>
  <si>
    <t>Y2 total</t>
  </si>
  <si>
    <t>Working capital (AR + Other CA − AP − Other CL)</t>
  </si>
  <si>
    <t>− Increase in AR (cash drain)</t>
  </si>
  <si>
    <t>+ Increase in AP (cash benefit)</t>
  </si>
  <si>
    <t>± Change in other WC (OCA, OCL, tax payable)</t>
  </si>
  <si>
    <t>Net WC cash impact</t>
  </si>
  <si>
    <t>CAPITAL STRUCTURE ANALYSIS</t>
  </si>
  <si>
    <t>DSCR, Debt/EBITDA, FCF/DS. Covenant signalling if covenants entered.</t>
  </si>
  <si>
    <t>Y1</t>
  </si>
  <si>
    <t>Y2</t>
  </si>
  <si>
    <t>EBITDA</t>
  </si>
  <si>
    <t>Debt service (interest + principal)</t>
  </si>
  <si>
    <t>DSCR (EBITDA / debt service)</t>
  </si>
  <si>
    <t>FCF / Debt service</t>
  </si>
  <si>
    <t>Covenant headroom · Debt/EBITDA vs max</t>
  </si>
  <si>
    <t>INDUSTRY BENCHMARK</t>
  </si>
  <si>
    <t>Your business</t>
  </si>
  <si>
    <t>Delta vs benchmark</t>
  </si>
  <si>
    <t>AR days (DSO)</t>
  </si>
  <si>
    <t>AP days (DPO)</t>
  </si>
  <si>
    <t>Working capital intensity (year-end WC / Y1 revenue)</t>
  </si>
  <si>
    <t>RECONCILIATION · THREE-STATEMENT INTEGRITY</t>
  </si>
  <si>
    <t>Every check holds to zero tolerance across all 9 region/scenario combinations.</t>
  </si>
  <si>
    <t>Check</t>
  </si>
  <si>
    <t>Max |error| across all 24 months × 3 scenarios</t>
  </si>
  <si>
    <t>Status</t>
  </si>
  <si>
    <t>1. Cash on BS = closing cash on CF</t>
  </si>
  <si>
    <t>2. Total Assets = Total Liabilities + Equity</t>
  </si>
  <si>
    <t>3. Retained earnings flow correct</t>
  </si>
  <si>
    <t>4. AR on BS = Revenue × AR days / 30</t>
  </si>
  <si>
    <t>5. AP on BS = Direct cost × AP days / 30</t>
  </si>
  <si>
    <t>6. D&amp;A on P&amp;L = reduction in fixed assets</t>
  </si>
  <si>
    <t>7. Debt flow: closing = opening + draw − repay</t>
  </si>
  <si>
    <t>8. Working capital cascade reconciles</t>
  </si>
  <si>
    <t>9. Opening BS balanced (RE plug)</t>
  </si>
  <si>
    <t>MASTER · THREE-STATEMENT INTEGRITY</t>
  </si>
  <si>
    <t>ZERO TOLERANCE</t>
  </si>
  <si>
    <t>Infraxus, operator finance · infraxus.com</t>
  </si>
  <si>
    <t>Three_Statement_Operating_Model.xlsx</t>
  </si>
  <si>
    <t>[engine] Revenue · Service line 1 (engine)</t>
  </si>
  <si>
    <t>[engine] Revenue · Service line 2</t>
  </si>
  <si>
    <t>[engine] Revenue · Service line 3</t>
  </si>
  <si>
    <t>[engine] Revenue · Service line 4</t>
  </si>
  <si>
    <t>[engine] Revenue · Service line 5</t>
  </si>
  <si>
    <t>[engine] Total revenue</t>
  </si>
  <si>
    <t>[engine] Direct cost · Service line 1</t>
  </si>
  <si>
    <t>[engine] Direct cost · Service line 2</t>
  </si>
  <si>
    <t>[engine] Direct cost · Service line 3</t>
  </si>
  <si>
    <t>[engine] Direct cost · Service line 4</t>
  </si>
  <si>
    <t>[engine] Direct cost · Service line 5</t>
  </si>
  <si>
    <t>[engine] Direct cost · Contractors</t>
  </si>
  <si>
    <t>[engine] Direct cost · Tools</t>
  </si>
  <si>
    <t>[engine] Direct cost · Pass-through</t>
  </si>
  <si>
    <t>[engine] Direct cost · Other</t>
  </si>
  <si>
    <t>[engine] Total direct cost</t>
  </si>
  <si>
    <t>[engine] Gross profit</t>
  </si>
  <si>
    <t>[engine] Gross margin %</t>
  </si>
  <si>
    <t>[engine] OpEx · Overhead payroll</t>
  </si>
  <si>
    <t>[engine] OpEx · Rent</t>
  </si>
  <si>
    <t>[engine] OpEx · Software</t>
  </si>
  <si>
    <t>[engine] OpEx · Sales &amp; marketing</t>
  </si>
  <si>
    <t>[engine] OpEx · Professional fees</t>
  </si>
  <si>
    <t>[engine] OpEx · Insurance</t>
  </si>
  <si>
    <t>[engine] OpEx · Other</t>
  </si>
  <si>
    <t>[engine] Total operating expenses</t>
  </si>
  <si>
    <t>[engine] EBITDA</t>
  </si>
  <si>
    <t>[engine] EBITDA %</t>
  </si>
  <si>
    <t>[engine] Depreciation &amp; amortisation</t>
  </si>
  <si>
    <t>[engine] EBIT</t>
  </si>
  <si>
    <t>[engine] Debt, opening balance</t>
  </si>
  <si>
    <t>[engine] Interest expense (on opening debt)</t>
  </si>
  <si>
    <t>[engine] Pre-tax income</t>
  </si>
  <si>
    <t>[engine] Income tax expense</t>
  </si>
  <si>
    <t>[engine] Net profit</t>
  </si>
  <si>
    <t>[engine] Net profit margin %</t>
  </si>
  <si>
    <t>[engine] AR, opening (BS prior)</t>
  </si>
  <si>
    <t>[engine] AR, closing (= revenue × AR_days_eff / 30)</t>
  </si>
  <si>
    <t>[engine] Δ AR</t>
  </si>
  <si>
    <t>[engine] AP, opening (BS prior)</t>
  </si>
  <si>
    <t>[engine] AP, closing (= direct cost × AP_days / 30)</t>
  </si>
  <si>
    <t>[engine] Δ AP</t>
  </si>
  <si>
    <t>[engine] Other current assets, opening</t>
  </si>
  <si>
    <t>[engine] Other current assets, closing (constant)</t>
  </si>
  <si>
    <t>[engine] Δ Other current assets</t>
  </si>
  <si>
    <t>[engine] Other current liabilities, opening</t>
  </si>
  <si>
    <t>[engine] Other current liabilities, closing (constant)</t>
  </si>
  <si>
    <t>[engine] Δ Other current liabilities</t>
  </si>
  <si>
    <t>[engine] Cash tax paid (per regional schedule)</t>
  </si>
  <si>
    <t>[engine] Tax payable, opening</t>
  </si>
  <si>
    <t>[engine] Tax payable, closing</t>
  </si>
  <si>
    <t>[engine] Δ Tax payable</t>
  </si>
  <si>
    <t>[engine] Total working capital change (= -ΔAR -ΔOCA +ΔAP +ΔOCL +ΔTaxPay)</t>
  </si>
  <si>
    <t>[engine] Operating cash flow</t>
  </si>
  <si>
    <t>[engine] Capital expenditure</t>
  </si>
  <si>
    <t>[engine] Investing cash flow</t>
  </si>
  <si>
    <t>[engine] Debt drawdowns</t>
  </si>
  <si>
    <t>[engine] Debt principal repayments</t>
  </si>
  <si>
    <t>[engine] Owner distributions / dividends</t>
  </si>
  <si>
    <t>[engine] Equity contributions</t>
  </si>
  <si>
    <t>[engine] Financing cash flow</t>
  </si>
  <si>
    <t>[engine] Net change in cash</t>
  </si>
  <si>
    <t>[engine] Cash, opening balance</t>
  </si>
  <si>
    <t>[engine] Cash, closing balance</t>
  </si>
  <si>
    <t>[engine] BS, Cash</t>
  </si>
  <si>
    <t>[engine] BS, Accounts receivable</t>
  </si>
  <si>
    <t>[engine] BS, Other current assets</t>
  </si>
  <si>
    <t>[engine] BS, Total current assets</t>
  </si>
  <si>
    <t>[engine] Fixed assets, opening</t>
  </si>
  <si>
    <t>[engine] Fixed assets, closing</t>
  </si>
  <si>
    <t>[engine] BS, Fixed assets, net</t>
  </si>
  <si>
    <t>[engine] BS, Total assets</t>
  </si>
  <si>
    <t>[engine] BS, Accounts payable</t>
  </si>
  <si>
    <t>[engine] BS, Other current liabilities</t>
  </si>
  <si>
    <t>[engine] BS, Tax payable</t>
  </si>
  <si>
    <t>[engine] BS, Total current liabilities</t>
  </si>
  <si>
    <t>[engine] BS, Interest-bearing debt</t>
  </si>
  <si>
    <t>[engine] BS, Total liabilities</t>
  </si>
  <si>
    <t>[engine] Share capital, opening</t>
  </si>
  <si>
    <t>[engine] Share capital, closing</t>
  </si>
  <si>
    <t>[engine] BS, Share capital</t>
  </si>
  <si>
    <t>[engine] Retained earnings, opening</t>
  </si>
  <si>
    <t>[engine] Retained earnings, closing</t>
  </si>
  <si>
    <t>[engine] BS, Retained earnings</t>
  </si>
  <si>
    <t>[engine] BS, Total equity</t>
  </si>
  <si>
    <t>[engine] BS, Total liabilities + equity</t>
  </si>
  <si>
    <t>[engine] Check · Assets − (Liab + Equity)</t>
  </si>
  <si>
    <t>[engine] Check · BS Cash − CF Closing Cash</t>
  </si>
  <si>
    <t>[engine] Check · RE − (RE_prior + NP − Dist)</t>
  </si>
  <si>
    <t>[engine] Check · BS AR − Rev × AR_days_eff / 30</t>
  </si>
  <si>
    <t>[engine] Check · Debt − (open − repay + draw)</t>
  </si>
  <si>
    <t>[engine] Check · WC change − sum(ΔAR,ΔAP,ΔOCA,ΔOCL,ΔTaxPay)</t>
  </si>
  <si>
    <t>[engine] Check · ΔFA − (Capex − D&amp;A)</t>
  </si>
  <si>
    <t>[engine] Debt service (interest + principal)</t>
  </si>
  <si>
    <t>[engine] DSCR, monthly (EBITDA / debt service)</t>
  </si>
  <si>
    <t>[engine] FCF / Debt service, monthly</t>
  </si>
  <si>
    <t>Downside</t>
  </si>
  <si>
    <t>Upside</t>
  </si>
  <si>
    <t>EBITDA Y1</t>
  </si>
  <si>
    <t>Closing cash Y1</t>
  </si>
  <si>
    <t>Equity Y1</t>
  </si>
  <si>
    <t>Drivers</t>
  </si>
  <si>
    <t>An integrated P&amp;L, Cash Flow Statement, and Balance Sheet for your business. Built from operating drivers. Free to use, no attribution required.</t>
  </si>
  <si>
    <t>BUSINESS CONTEXT</t>
  </si>
  <si>
    <t>Region, vertical, opening BS, single source of truth.</t>
  </si>
  <si>
    <t>Business name</t>
  </si>
  <si>
    <t>Your services business</t>
  </si>
  <si>
    <t>Appears in the Model header.</t>
  </si>
  <si>
    <t>Plan year label</t>
  </si>
  <si>
    <t>FY2026-27</t>
  </si>
  <si>
    <t>Free-text label, e.g., FY2026-27. Display only.</t>
  </si>
  <si>
    <t>Region</t>
  </si>
  <si>
    <t>AU</t>
  </si>
  <si>
    <t>Vertical</t>
  </si>
  <si>
    <t>Digital agency</t>
  </si>
  <si>
    <t>Active scenario (live)</t>
  </si>
  <si>
    <t>Mirror of the Scenario selector on the Model sheet.</t>
  </si>
  <si>
    <t>View (live)</t>
  </si>
  <si>
    <t>Mirror of the View selector on the Model sheet.</t>
  </si>
  <si>
    <t>Projection horizon (live)</t>
  </si>
  <si>
    <t>Mirror of the Horizon selector on the Model sheet.</t>
  </si>
  <si>
    <t>OPENING BALANCE SHEET</t>
  </si>
  <si>
    <t>Anchors the projection. Opening RE is computed as the balancing plug, see Read Me.</t>
  </si>
  <si>
    <t>Opening cash balance</t>
  </si>
  <si>
    <t>Cash at the start of month 1.</t>
  </si>
  <si>
    <t>Opening accounts receivable</t>
  </si>
  <si>
    <t>AR at start of month 1 (from your prior period close).</t>
  </si>
  <si>
    <t>Opening other current assets</t>
  </si>
  <si>
    <t>Prepaid expenses, deposits, sundry current assets.</t>
  </si>
  <si>
    <t>Opening fixed assets (net)</t>
  </si>
  <si>
    <t>Net PP&amp;E at start of month 1 (cost less accumulated D&amp;A).</t>
  </si>
  <si>
    <t>Opening accounts payable</t>
  </si>
  <si>
    <t>AP at start of month 1.</t>
  </si>
  <si>
    <t>Opening other current liabilities</t>
  </si>
  <si>
    <t>Accrued expenses, deferred revenue, other current liabilities.</t>
  </si>
  <si>
    <t>Opening tax payable</t>
  </si>
  <si>
    <t>Income tax payable at start (accrued not yet paid).</t>
  </si>
  <si>
    <t>Opening interest-bearing debt</t>
  </si>
  <si>
    <t>Total debt outstanding at start.</t>
  </si>
  <si>
    <t>Opening share capital</t>
  </si>
  <si>
    <t>Paid-in capital + share premium. Owner contributions to date.</t>
  </si>
  <si>
    <t>Opening retained earnings (plug)</t>
  </si>
  <si>
    <t>Balancing item so opening BS ties exactly. = Assets − (Liab + ShareCap).</t>
  </si>
  <si>
    <t>Opening BS check (Assets − L+E)</t>
  </si>
  <si>
    <t>Always = $0.00 by construction (RE is the plug).</t>
  </si>
  <si>
    <t>WORKING CAPITAL DRIVERS</t>
  </si>
  <si>
    <t>AR = Revenue × AR days / 30. AP = Direct cost × AP days / 30.</t>
  </si>
  <si>
    <t>Days from invoice to cash. Scenario layer adjusts by ±days.</t>
  </si>
  <si>
    <t>Days from supplier invoice to cash out.</t>
  </si>
  <si>
    <t>Other current assets (constant)</t>
  </si>
  <si>
    <t>Treated as constant through the projection (prepaids etc.).</t>
  </si>
  <si>
    <t>Other current liabilities (constant)</t>
  </si>
  <si>
    <t>Treated as constant through the projection (accruals etc.).</t>
  </si>
  <si>
    <t>CAPITAL STRUCTURE</t>
  </si>
  <si>
    <t>Debt rate, covenants. Monthly schedules for capex / debt / distributions / equity below.</t>
  </si>
  <si>
    <t>Annual interest rate on debt</t>
  </si>
  <si>
    <t>Used to compute monthly interest on OPENING debt balance, no circularity.</t>
  </si>
  <si>
    <t>Headcount (overhead FTE)</t>
  </si>
  <si>
    <t>Non-billable / overhead headcount. Used to compute monthly overhead payroll.</t>
  </si>
  <si>
    <t>Fully-loaded cost per FTE (annual)</t>
  </si>
  <si>
    <t>Salary + on-costs + benefits. Used to compute monthly overhead payroll.</t>
  </si>
  <si>
    <t>Effective income tax rate</t>
  </si>
  <si>
    <t>Region default (AU 25% / NZ 28% / US 25% blended). Overwrite to set your own; set 0 for pass-through entities.</t>
  </si>
  <si>
    <t>Debt covenant, max Debt / EBITDA</t>
  </si>
  <si>
    <t>Bank covenant ceiling. Headroom panel turns amber within 10% and red on breach.</t>
  </si>
  <si>
    <t>Debt covenant, min DSCR</t>
  </si>
  <si>
    <t>Bank covenant floor. Headroom panel turns amber within 10% and red on breach.</t>
  </si>
  <si>
    <t>REVENUE PLAN (by service line, monthly)</t>
  </si>
  <si>
    <t>Up to 5 service lines. Type your own names. Months M1..M24; Y1 total in last column.</t>
  </si>
  <si>
    <t>Note</t>
  </si>
  <si>
    <t>Service line 1 name</t>
  </si>
  <si>
    <t>Retained services</t>
  </si>
  <si>
    <t>Editable label, appears in detail tables.</t>
  </si>
  <si>
    <t xml:space="preserve">   Direct cost % of revenue</t>
  </si>
  <si>
    <t>Variable direct cost as a % of this line's revenue.</t>
  </si>
  <si>
    <t xml:space="preserve">   Monthly revenue</t>
  </si>
  <si>
    <t>Service line 2 name</t>
  </si>
  <si>
    <t>Project delivery</t>
  </si>
  <si>
    <t>Service line 3 name</t>
  </si>
  <si>
    <t>Productised offering</t>
  </si>
  <si>
    <t>Service line 4 name</t>
  </si>
  <si>
    <t>Outsourced services</t>
  </si>
  <si>
    <t>Service line 5 name</t>
  </si>
  <si>
    <t>Other</t>
  </si>
  <si>
    <t>DIRECT COST, other (monthly)</t>
  </si>
  <si>
    <t>Direct costs not modelled as % of a specific service line.</t>
  </si>
  <si>
    <t>Contractors / freelance</t>
  </si>
  <si>
    <t>Variable delivery resource outside the payroll roster.</t>
  </si>
  <si>
    <t>Production tools / licenses</t>
  </si>
  <si>
    <t>Project-specific software, licenses, plugins.</t>
  </si>
  <si>
    <t>Pass-through media / costs</t>
  </si>
  <si>
    <t>Client-billable third-party costs (media buys, hosting, etc.).</t>
  </si>
  <si>
    <t>Other direct cost</t>
  </si>
  <si>
    <t>Other costs directly tied to revenue delivery.</t>
  </si>
  <si>
    <t>OPERATING EXPENSES (monthly)</t>
  </si>
  <si>
    <t>Overhead payroll is computed = headcount × FLC / 12, see Capital Structure section above.</t>
  </si>
  <si>
    <t>Overhead payroll</t>
  </si>
  <si>
    <t>Salaries + on-costs for non-billable staff (admin, leadership, sales, marketing internal).</t>
  </si>
  <si>
    <t>Rent / occupancy</t>
  </si>
  <si>
    <t>Office lease + outgoings.</t>
  </si>
  <si>
    <t>Software &amp; systems</t>
  </si>
  <si>
    <t>SaaS subscriptions, IT infra, comms tools.</t>
  </si>
  <si>
    <t>Sales &amp; marketing</t>
  </si>
  <si>
    <t>External S&amp;M spend (excl. sales payroll which sits in overhead payroll).</t>
  </si>
  <si>
    <t>Professional fees</t>
  </si>
  <si>
    <t>Legal, accounting, advisory, recruiting fees.</t>
  </si>
  <si>
    <t>Insurance</t>
  </si>
  <si>
    <t>PI, public liability, D&amp;O, cyber, workers comp.</t>
  </si>
  <si>
    <t>Other overhead</t>
  </si>
  <si>
    <t>Travel, communications, training, sundries.</t>
  </si>
  <si>
    <t>DEPRECIATION &amp; AMORTISATION (monthly)</t>
  </si>
  <si>
    <t>D&amp;A</t>
  </si>
  <si>
    <t>Non-cash. Flows to fixed assets net on BS.</t>
  </si>
  <si>
    <t>CAPITAL EXPENDITURE (monthly)</t>
  </si>
  <si>
    <t>Capex</t>
  </si>
  <si>
    <t>Positive values only, flows to fixed assets and ICF.</t>
  </si>
  <si>
    <t>DEBT SCHEDULE (monthly)</t>
  </si>
  <si>
    <t>Debt drawdowns</t>
  </si>
  <si>
    <t>New borrowings in the month.</t>
  </si>
  <si>
    <t>Debt principal repayments</t>
  </si>
  <si>
    <t>Principal paydown (interest computed separately on opening balance).</t>
  </si>
  <si>
    <t>DISTRIBUTIONS &amp; EQUITY (monthly)</t>
  </si>
  <si>
    <t>Owner distributions / dividends</t>
  </si>
  <si>
    <t>Reduces retained earnings AND cash. Shown on FCF.</t>
  </si>
  <si>
    <t>Equity contributions</t>
  </si>
  <si>
    <t>Increases share capital AND cash. Shown on FCF.</t>
  </si>
  <si>
    <t>TAX CASH PAYMENT SCHEDULE (monthly)</t>
  </si>
  <si>
    <t>Region-driven default (AU BAS / NZ provisional / US estimated). Values = fraction of annual tax paid in cash that month. Overwrite to set your own.</t>
  </si>
  <si>
    <t>Tax cash payment %</t>
  </si>
  <si>
    <t>% of annual tax paid in cash this month. Region default, overwrite to set your own.</t>
  </si>
  <si>
    <t>REFERENCE · REGIONAL DEFAULTS (read-only)</t>
  </si>
  <si>
    <t>For reference. Switch region on the Model header.</t>
  </si>
  <si>
    <t>FY start</t>
  </si>
  <si>
    <t>Default tax rate</t>
  </si>
  <si>
    <t>Notes</t>
  </si>
  <si>
    <t>25% base rate entity (turnover &lt;$50M)</t>
  </si>
  <si>
    <t>NZ</t>
  </si>
  <si>
    <t>28% flat (standard NZ company rate)</t>
  </si>
  <si>
    <t>US</t>
  </si>
  <si>
    <t>25% blended (21% federal + ~4% state blended)</t>
  </si>
  <si>
    <t>REFERENCE · VERTICAL BENCHMARKS (read-only)</t>
  </si>
  <si>
    <t>For reference. Switch vertical on the Model header.</t>
  </si>
  <si>
    <t>AR days</t>
  </si>
  <si>
    <t>AP days</t>
  </si>
  <si>
    <t>WC intensity</t>
  </si>
  <si>
    <t>D/EBITDA</t>
  </si>
  <si>
    <t>EBITDA margin</t>
  </si>
  <si>
    <t>Source</t>
  </si>
  <si>
    <t>BenchPress (Wow Company), Parakeeto, Damodaran working capital by industry</t>
  </si>
  <si>
    <t>Consulting</t>
  </si>
  <si>
    <t>Big 4 published margins, Mosaic Consulting Profitability Benchmarks</t>
  </si>
  <si>
    <t>Engineering firm</t>
  </si>
  <si>
    <t>Monograph A+E Benchmarks 2026; AIA Firm Survey</t>
  </si>
  <si>
    <t>IT services</t>
  </si>
  <si>
    <t>Service Performance Insight (SPI) PS Maturity Benchmark</t>
  </si>
  <si>
    <t>Recruiting</t>
  </si>
  <si>
    <t>APSCo / Bullhorn GRID Recruitment Benchmarks</t>
  </si>
  <si>
    <t>Specialty trades</t>
  </si>
  <si>
    <t>HIA / Master Builders Australia industry margin reports; RMA studies</t>
  </si>
  <si>
    <t>Other / not listed</t>
  </si>
  <si>
    <t>Generic services-business average (mean of the named verticals), use when your vertical is not listed.</t>
  </si>
  <si>
    <t>REFERENCE · SCENARIO MULTIPLIERS (read-only)</t>
  </si>
  <si>
    <t>The math behind Base / Downside / Upside.</t>
  </si>
  <si>
    <t>Scenario</t>
  </si>
  <si>
    <t>Revenue ×</t>
  </si>
  <si>
    <t>Cost ×</t>
  </si>
  <si>
    <t>AR days +</t>
  </si>
  <si>
    <t>Sample · Northbound Digital Pty Ltd</t>
  </si>
  <si>
    <t>A realistic three-statement projection, revenue growth driving working capital build, modest capex, owner distributions affecting financing cash flow, year-end balance sheet showing the integrated impact.</t>
  </si>
  <si>
    <t>24 months</t>
  </si>
  <si>
    <t>SAMPLE DRIVERS (read-only, populated below)</t>
  </si>
  <si>
    <t>All Sample numbers above are computed from these inputs.</t>
  </si>
  <si>
    <t>Business</t>
  </si>
  <si>
    <t>Northbound Digital Pty Ltd · Digital agency · AU · FY2026-27</t>
  </si>
  <si>
    <t>Y1 revenue (Base)</t>
  </si>
  <si>
    <t>≈ $5.0M (5 service lines, $90K-$180K/mo)</t>
  </si>
  <si>
    <t>Opening BS</t>
  </si>
  <si>
    <t>Cash $520K · AR $395K · Debt $300K · Equity (plug) anchors opening BS to balance</t>
  </si>
  <si>
    <t>Working capital drivers</t>
  </si>
  <si>
    <t>AR 55 days · AP 32 days · Other CA $30K · Other CL $24K</t>
  </si>
  <si>
    <t>Capital structure</t>
  </si>
  <si>
    <t>Debt $300K @ 8.5%, amortised over 36 months ($8,333/mo)</t>
  </si>
  <si>
    <t>$35K in M3 (server + studio refit), $20K in M11, $25K in M16</t>
  </si>
  <si>
    <t>Distributions</t>
  </si>
  <si>
    <t>$8K/mo + $30K bonus at Y1 close-out (M12)</t>
  </si>
  <si>
    <t>Headcount + tax</t>
  </si>
  <si>
    <t>10 overhead FTE @ $145K FLC · 25% effective tax · BAS quarterly cash</t>
  </si>
  <si>
    <t>The full driver vectors live in the engine block (hidden columns). Unhide column AE onward to inspect.</t>
  </si>
  <si>
    <t>Retained creative</t>
  </si>
  <si>
    <t>Project campaigns</t>
  </si>
  <si>
    <t>Performance marketing</t>
  </si>
  <si>
    <t>Web build &amp; support</t>
  </si>
  <si>
    <t>Subcontracted media</t>
  </si>
  <si>
    <t>AP days +</t>
  </si>
  <si>
    <t>Debt / EBITDA (annualised)</t>
  </si>
  <si>
    <t>Debt / EBITDA (TTM, year-end)</t>
  </si>
  <si>
    <t>[engine] Debt / EBITDA (annualised; TTM from M12)</t>
  </si>
  <si>
    <t>[engine] Check · Tax payable − (open + tax exp − tax paid)</t>
  </si>
  <si>
    <t>[engine] Check · BS AP − DC × AP_days_eff / 30</t>
  </si>
  <si>
    <t>10. Tax payable flow reconciles</t>
  </si>
  <si>
    <t>Fiscal year start month</t>
  </si>
  <si>
    <t>Jul</t>
  </si>
  <si>
    <t>First month of your financial year (Jul, Jan, Apr, etc.). Drives the month labels across the model.</t>
  </si>
  <si>
    <t>Effective tax rate</t>
  </si>
  <si>
    <t>Region default shown; set your own on the CAPITAL STRUCTURE block below. AU 25% / NZ 28% / US 25%.</t>
  </si>
  <si>
    <t>Benchmark target</t>
  </si>
  <si>
    <t>Your business vs benchmark targets</t>
  </si>
  <si>
    <t>An integrated P&amp;L, Cash Flow Statement, and Balance Sheet. Enter your figures on the Drivers tab and every panel below populates automatically. See the Sample Drivers and Sample Model tabs for a worked example.</t>
  </si>
  <si>
    <t>Built by Infraxus, operator finance · infraxus.com</t>
  </si>
  <si>
    <t>Free version vs Control Sprint</t>
  </si>
  <si>
    <t>06</t>
  </si>
  <si>
    <t>05</t>
  </si>
  <si>
    <t>What the colours mean</t>
  </si>
  <si>
    <t>04</t>
  </si>
  <si>
    <t>03</t>
  </si>
  <si>
    <t>How to use it</t>
  </si>
  <si>
    <t>02</t>
  </si>
  <si>
    <t>What this is</t>
  </si>
  <si>
    <t>01</t>
  </si>
  <si>
    <t>How to use this template · what the colours mean · what to do if something looks wrong</t>
  </si>
  <si>
    <t>Read Me · Three-Statement Operating Model</t>
  </si>
  <si>
    <t xml:space="preserve">
An integrated three-statement operating model for your services business: Income Statement, Cash Flow Statement, and Balance Sheet, connected and reconciled to the dollar. Build a 12 or 24-month projection from operating drivers, switch scenarios, and see how operating decisions and capital structure choices land across all three statements.
Five tabs: Drivers (enter your figures), Model (your read-only result), plus Sample Drivers and Sample Model, a fully worked example to copy from.
Free to use. No attribution required. No email capture. Built by Infraxus, infraxus.com.</t>
  </si>
  <si>
    <t>The three statements and why they connect</t>
  </si>
  <si>
    <t xml:space="preserve">
Your Income Statement (P&amp;L) shows whether you are profitable. Your Cash Flow Statement shows whether you actually have money. Your Balance Sheet shows what you own and what you owe.
The three are connected, mechanically: profit flows into retained earnings on the balance sheet, working capital changes show up in cash flow, and cash on the balance sheet equals the closing cash on the cash flow statement. When they tie, the model is right. When they do not, something is wrong.
Profitable businesses can run out of cash. Cash-positive businesses can be quietly losing equity. The three statements show you, together, what one alone cannot.</t>
  </si>
  <si>
    <t>The working capital cascade</t>
  </si>
  <si>
    <t xml:space="preserve">
If your revenue grows 30% in a year and you collect on Net 60, you are funding two months of that growth out of your own pocket before any cash comes in. That is the working capital drain, the under-recognised cash risk in growing services businesses.
The model makes the cascade explicit. AR = revenue x AR days / 30. AP = direct cost x AP days / 30. When AR grows faster than AP, cash drops even as profit rises. The Working Capital Cascade panel on the Model sheet shows this month by month; negative numbers are the cash drain.
The scenario layer lets you stress-test it. Downside extends AR days (clients pay slower) and AP days (you hold supplier cash longer) together, so the squeeze is modelled symmetrically, and the model recomputes year-end cash. If that change pushes cash negative, you have a financing gap to plan around.</t>
  </si>
  <si>
    <t>The capital structure view</t>
  </si>
  <si>
    <t xml:space="preserve">
Two metrics matter for owner-operators considering debt or considering a sale: DSCR and Debt / EBITDA.
DSCR (Debt Service Coverage Ratio) = EBITDA / debt service (interest + principal). Banks typically want this at or above 1.25x. Below 1.0x means EBITDA does not cover the loan payments, and you are paying debt from cash reserves.
Debt / EBITDA tells you how leveraged the business is. Below 1.5x is conservative, 1.5 to 2.5x moderate, above 3x tight. Bank covenants frequently sit at 3x. Because trailing-twelve-month EBITDA does not exist until month 12, the monthly figure annualises the EBITDA earned so far (run-rate); it settles to a true TTM basis from month 12 onward and at year-end. The model surfaces both monthly and at year-end, with covenant headroom shown explicitly if you enter your covenant levels on the Drivers sheet.</t>
  </si>
  <si>
    <t xml:space="preserve">
1. Set the view controls on the Model sheet header: Scenario (Base / Downside / Upside), View (Income Statement / Cash Flow / Balance Sheet / All Three), and Horizon (12 or 24 months). These drive what the Model displays; they do not change your inputs.
2. Open the Drivers sheet, your input surface. Enter your opening balance sheet (cash, AR, AP, debt, share capital) and set the fiscal-year start month. Opening retained earnings is computed as the balancing plug (see section 07). The colour legend shows which cells to type into and which are formulas.
3. Set the working capital drivers: AR days, AP days, other current assets and liabilities.
4. Enter your operating drivers: service line revenue by month (5 lines, name them yourself), direct cost as a percentage of revenue per line, operating expenses by category, D&amp;A, capex, debt drawdowns and repayments, owner distributions, equity contributions.
5. Set capital structure and benchmarks: interest rate on debt, tax rate, covenants (optional), headcount and fully-loaded cost, and your industry benchmark targets.
6. Read the integrated view on the Model sheet: summary tiles, the Base / Downside / Upside comparison band, the month-by-month detail table, and the working capital and capital structure panels.
7. Watch the reconciliation panel: ten integrity checks at the bottom. The master cell shows PASS only if all hold to zero tolerance. If any FAIL, investigate before relying on the output.</t>
  </si>
  <si>
    <t xml:space="preserve">
BLUE TEXT  Input. A cell you are meant to edit (an assumption or raw number).
OFF-WHITE TEXT  Formula. A calculated value; do not type over it.
GREEN TEXT  Override, or a healthy check. A value you have typed over a default, or a reconciliation check reading OK.
AMBER TEXT  Warning. A figure approaching a covenant or floor.
RED TEXT  A negative or a breach. A deficit, a cash-floor breach, or a failing reconciliation check.
The colour legend is repeated at the top of the Drivers and Sample Drivers tabs, where you do the data entry.</t>
  </si>
  <si>
    <t>07</t>
  </si>
  <si>
    <t>If the model does not tie, and methodology</t>
  </si>
  <si>
    <t xml:space="preserve">
The reconciliation panel will flag a FAIL. Three failure modes are common. Cash on BS not equal to closing cash on CF usually means a working capital item is computed differently in the two places; check AR and AP days are consistent. Total Assets not equal to Liabilities plus Equity is usually a retained earnings flow error: RE for each month should equal prior RE plus net profit minus distributions. Tax accrual versus payment timing differences sit in Tax Payable on the BS.
Methodology: Interest is computed on the opening debt balance (not average) to avoid circular references; iterative calculation is disabled. Opening retained earnings is the balancing plug: Open RE = (Cash + AR + Other CA + Fixed Assets) minus (AP + Other CL + Tax Payable + Debt + Share Capital). Cash flow uses the indirect method: OCF = Net profit + D&amp;A minus change in AR minus change in Other CA plus change in AP plus change in Other CL plus change in Tax payable. AR and AP derive from revenue and direct cost times days / 30, with scenario day-adjustments stressing both. Tax applies to the greater of zero and pre-tax income, with no tax benefit on losses. For pass-through entities, set the effective tax rate to zero and treat owner draws as pre-tax distributions.</t>
  </si>
  <si>
    <t xml:space="preserve">
This template runs on the operating drivers you enter manually. It is useful for a strategic decision, a debt conversation, a sale preparation, a major pivot, or a deliberate analytical exercise.
The Control Sprint installs the equivalent wired to your actual accounting system: a three-statement refresh from real data each month, integrated with your debt facilities and covenants, scenario modelling tailored to the specific decisions on the table, and a fortnightly operating cadence.
Cash and profit clarity in 10 business days. Fixed fee, $5,000, no retainer. If you do not have that clarity after the delivery call, full refund, no questions. infraxus.com/control-sprint</t>
  </si>
  <si>
    <t>08</t>
  </si>
  <si>
    <t>Enter your operating drivers and opening balances, then read the model on the Model tab · free to use · no attribution required</t>
  </si>
  <si>
    <t>Three connected statements that reconcile to the dollar, with scenarios · free to use · no attribution required</t>
  </si>
  <si>
    <t>Worked example, a digital agency · free to use · no attribution required</t>
  </si>
  <si>
    <t>Want this built on your real numbers, refreshed every month?  Book a fit call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</si>
</sst>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_(* \(#,##0.00\);_(* &quot;-&quot;??_);_(@_)"/>
    <numFmt numFmtId="164" formatCode="&quot;$&quot;#,##0;[Red]\(&quot;$&quot;#,##0\);&quot;–&quot;;@"/>
    <numFmt numFmtId="165" formatCode="0.0%;[Red]\-0.0%;&quot;–&quot;;@"/>
    <numFmt numFmtId="166" formatCode="[&gt;=1]&quot;$&quot;#,##0;[Red][&lt;=-1]\(&quot;$&quot;#,##0\);\–"/>
    <numFmt numFmtId="167" formatCode="0.00&quot;x&quot;;[Red]\-0.00&quot;x&quot;;&quot;–&quot;;@"/>
    <numFmt numFmtId="168" formatCode="0&quot; d&quot;;[Red]\-0&quot; d&quot;;&quot;–&quot;;@"/>
    <numFmt numFmtId="169" formatCode="&quot;$&quot;#,##0.00;[Red]\(&quot;$&quot;#,##0.00\);&quot;$0.00&quot;;@"/>
    <numFmt numFmtId="170" formatCode="#,##0;[Red]\-#,##0;&quot;–&quot;;@"/>
    <numFmt numFmtId="171" formatCode="&quot;$&quot;#,##0.00,,&quot;M&quot;;\(&quot;$&quot;#,##0.00,,&quot;M&quot;\);\–"/>
    <numFmt numFmtId="172" formatCode="&quot;$&quot;#,##0"/>
  </numFmts>
  <fonts count="45" x14ac:knownFonts="1">
    <font>
      <sz val="11"/>
      <color theme="1"/>
      <name val="Calibri"/>
      <family val="2"/>
      <scheme val="minor"/>
    </font>
    <font>
      <b/>
      <sz val="10"/>
      <color rgb="FF1E50FF"/>
      <name val="Consolas"/>
      <family val="2"/>
    </font>
    <font>
      <sz val="11"/>
      <color rgb="FF1E50FF"/>
      <name val="Calibri"/>
      <family val="2"/>
    </font>
    <font>
      <sz val="11"/>
      <color rgb="FF1E50FF"/>
      <name val="Consolas"/>
      <family val="2"/>
    </font>
    <font>
      <b/>
      <sz val="11"/>
      <color rgb="FF1E50FF"/>
      <name val="Calibri"/>
      <family val="2"/>
    </font>
    <font>
      <b/>
      <sz val="11"/>
      <color rgb="FF1E50FF"/>
      <name val="Consolas"/>
      <family val="2"/>
    </font>
    <font>
      <b/>
      <sz val="18"/>
      <color rgb="FFF2F2F2"/>
      <name val="Calibri Light"/>
      <family val="2"/>
    </font>
    <font>
      <sz val="10"/>
      <color rgb="FF8896B3"/>
      <name val="Consolas"/>
      <family val="2"/>
    </font>
    <font>
      <b/>
      <sz val="11"/>
      <color rgb="FFF2F2F2"/>
      <name val="Consolas"/>
      <family val="2"/>
    </font>
    <font>
      <sz val="10"/>
      <color rgb="FF8896B3"/>
      <name val="Calibri"/>
      <family val="2"/>
    </font>
    <font>
      <b/>
      <sz val="10"/>
      <color rgb="FFF2F2F2"/>
      <name val="Consolas"/>
      <family val="2"/>
    </font>
    <font>
      <b/>
      <sz val="10"/>
      <color rgb="FF10B981"/>
      <name val="Consolas"/>
      <family val="2"/>
    </font>
    <font>
      <b/>
      <sz val="10"/>
      <color rgb="FF8896B3"/>
      <name val="Consolas"/>
      <family val="2"/>
    </font>
    <font>
      <b/>
      <sz val="10"/>
      <color rgb="FFE5484D"/>
      <name val="Consolas"/>
      <family val="2"/>
    </font>
    <font>
      <b/>
      <sz val="20"/>
      <color rgb="FFF2F2F2"/>
      <name val="Calibri Light"/>
      <family val="2"/>
    </font>
    <font>
      <i/>
      <sz val="10"/>
      <color rgb="FF8896B3"/>
      <name val="Calibri"/>
      <family val="2"/>
    </font>
    <font>
      <b/>
      <sz val="20"/>
      <color rgb="FFFFC857"/>
      <name val="Calibri Light"/>
      <family val="2"/>
    </font>
    <font>
      <b/>
      <sz val="13"/>
      <color rgb="FFF2F2F2"/>
      <name val="Calibri Light"/>
      <family val="2"/>
    </font>
    <font>
      <b/>
      <sz val="11"/>
      <color rgb="FFF2F2F2"/>
      <name val="Calibri"/>
      <family val="2"/>
    </font>
    <font>
      <sz val="11"/>
      <color rgb="FFF2F2F2"/>
      <name val="Calibri"/>
      <family val="2"/>
    </font>
    <font>
      <b/>
      <sz val="14"/>
      <color rgb="FFF2F2F2"/>
      <name val="Calibri Light"/>
      <family val="2"/>
    </font>
    <font>
      <sz val="10"/>
      <color rgb="FFF2F2F2"/>
      <name val="Consolas"/>
      <family val="2"/>
    </font>
    <font>
      <i/>
      <sz val="10"/>
      <color rgb="FF8896B3"/>
      <name val="Consolas"/>
      <family val="2"/>
    </font>
    <font>
      <sz val="11"/>
      <color rgb="FFF2F2F2"/>
      <name val="Consolas"/>
      <family val="2"/>
    </font>
    <font>
      <sz val="10"/>
      <color rgb="FFF2F2F2"/>
      <name val="Calibri"/>
      <family val="2"/>
    </font>
    <font>
      <b/>
      <sz val="12"/>
      <color rgb="FFF2F2F2"/>
      <name val="Calibri Light"/>
      <family val="2"/>
    </font>
    <font>
      <b/>
      <sz val="18"/>
      <color rgb="FF10B981"/>
      <name val="Consolas"/>
      <family val="2"/>
    </font>
    <font>
      <b/>
      <sz val="11"/>
      <color rgb="FF8896B3"/>
      <name val="Consolas"/>
      <family val="2"/>
    </font>
    <font>
      <b/>
      <sz val="11"/>
      <color rgb="FFE5484D"/>
      <name val="Calibri"/>
      <family val="2"/>
    </font>
    <font>
      <b/>
      <sz val="11"/>
      <color rgb="FF10B981"/>
      <name val="Calibri"/>
      <family val="2"/>
    </font>
    <font>
      <sz val="11"/>
      <color theme="1"/>
      <name val="Calibri"/>
      <family val="2"/>
      <scheme val="minor"/>
    </font>
    <font>
      <b/>
      <sz val="11"/>
      <color rgb="FF10B981"/>
      <name val="Consolas"/>
      <family val="2"/>
    </font>
    <font>
      <sz val="11"/>
      <color rgb="FFF2F2F2"/>
      <name val="Calibri"/>
      <family val="2"/>
      <scheme val="minor"/>
    </font>
    <font>
      <sz val="11"/>
      <color rgb="FFFF0000"/>
      <name val="Consolas"/>
      <family val="2"/>
    </font>
    <font>
      <sz val="10"/>
      <color rgb="FF000000"/>
      <name val="Tahoma"/>
      <family val="2"/>
    </font>
    <font>
      <b/>
      <sz val="10"/>
      <color rgb="FF000000"/>
      <name val="Tahoma"/>
      <family val="2"/>
    </font>
    <font>
      <sz val="10"/>
      <color rgb="FFF2F2F2"/>
      <name val="Calibri"/>
      <family val="2"/>
      <scheme val="minor"/>
    </font>
    <font>
      <sz val="11"/>
      <color rgb="FF10B981"/>
      <name val="Consolas"/>
      <family val="2"/>
    </font>
    <font>
      <b/>
      <sz val="16"/>
      <color rgb="FFF2F2F2"/>
      <name val="Calibri Light"/>
      <family val="2"/>
    </font>
    <font>
      <b/>
      <sz val="12"/>
      <color rgb="FF1E50FF"/>
      <name val="Consolas"/>
      <family val="2"/>
    </font>
    <font>
      <b/>
      <sz val="10"/>
      <color rgb="FF5B86FF"/>
      <name val="Consolas"/>
      <family val="2"/>
    </font>
    <font>
      <sz val="11"/>
      <color rgb="FF8896B3"/>
      <name val="Consolas"/>
      <family val="2"/>
    </font>
    <font>
      <sz val="11"/>
      <color theme="0"/>
      <name val="Calibri"/>
      <family val="2"/>
    </font>
    <font>
      <u/>
      <sz val="11"/>
      <color theme="10"/>
      <name val="Calibri"/>
      <family val="2"/>
      <scheme val="minor"/>
    </font>
    <font>
      <b/>
      <u/>
      <sz val="10"/>
      <color rgb="FF5B86FF"/>
      <name val="Consolas"/>
      <family val="2"/>
    </font>
  </fonts>
  <fills count="11">
    <fill>
      <patternFill patternType="none"/>
    </fill>
    <fill>
      <patternFill patternType="gray125"/>
    </fill>
    <fill>
      <patternFill patternType="solid">
        <fgColor rgb="FF1C1C1E"/>
        <bgColor rgb="FF1C1C1E"/>
      </patternFill>
    </fill>
    <fill>
      <patternFill patternType="solid">
        <fgColor rgb="FF0D0D0D"/>
        <bgColor rgb="FF0D0D0D"/>
      </patternFill>
    </fill>
    <fill>
      <patternFill patternType="solid">
        <fgColor rgb="FF26282B"/>
        <bgColor rgb="FF26282B"/>
      </patternFill>
    </fill>
    <fill>
      <patternFill patternType="solid">
        <fgColor rgb="FF26282B"/>
        <bgColor indexed="64"/>
      </patternFill>
    </fill>
    <fill>
      <patternFill patternType="solid">
        <fgColor rgb="FF0D0D0D"/>
        <bgColor indexed="64"/>
      </patternFill>
    </fill>
    <fill>
      <patternFill patternType="solid">
        <fgColor rgb="FF1C1C1E"/>
        <bgColor indexed="64"/>
      </patternFill>
    </fill>
    <fill>
      <patternFill patternType="solid">
        <fgColor rgb="FF1C1C1E"/>
        <bgColor rgb="FF0D0D0D"/>
      </patternFill>
    </fill>
    <fill>
      <patternFill patternType="solid">
        <fgColor rgb="FF0D0D0D"/>
        <bgColor rgb="FF1C1C1E"/>
      </patternFill>
    </fill>
    <fill>
      <patternFill patternType="solid">
        <fgColor rgb="FF1C1C1E"/>
        <bgColor rgb="FF26282B"/>
      </patternFill>
    </fill>
  </fills>
  <borders count="11">
    <border>
      <left/>
      <right/>
      <top/>
      <bottom/>
      <diagonal/>
    </border>
    <border>
      <left style="thin">
        <color rgb="FF3A3A3C"/>
      </left>
      <right style="thin">
        <color rgb="FF3A3A3C"/>
      </right>
      <top style="thin">
        <color rgb="FF3A3A3C"/>
      </top>
      <bottom style="thin">
        <color rgb="FF3A3A3C"/>
      </bottom>
      <diagonal/>
    </border>
    <border>
      <left/>
      <right/>
      <top style="thin">
        <color rgb="FF3A3A3C"/>
      </top>
      <bottom style="thin">
        <color rgb="FF3A3A3C"/>
      </bottom>
      <diagonal/>
    </border>
    <border>
      <left/>
      <right style="thin">
        <color rgb="FF3A3A3C"/>
      </right>
      <top style="thin">
        <color rgb="FF3A3A3C"/>
      </top>
      <bottom style="thin">
        <color rgb="FF3A3A3C"/>
      </bottom>
      <diagonal/>
    </border>
    <border>
      <left/>
      <right/>
      <top/>
      <bottom style="thin">
        <color rgb="FF3A3A3C"/>
      </bottom>
      <diagonal/>
    </border>
    <border>
      <left/>
      <right/>
      <top/>
      <bottom style="thin">
        <color rgb="FF3A3A3C"/>
      </bottom>
      <diagonal/>
    </border>
    <border>
      <left/>
      <right/>
      <top/>
      <bottom style="thin">
        <color rgb="FF3A3A3C"/>
      </bottom>
      <diagonal/>
    </border>
    <border>
      <left/>
      <right/>
      <top style="thin">
        <color rgb="FF3A3A3C"/>
      </top>
      <bottom/>
      <diagonal/>
    </border>
    <border>
      <left/>
      <right/>
      <top style="double">
        <color rgb="FF3A3A3C"/>
      </top>
      <bottom style="thin">
        <color rgb="FF3A3A3C"/>
      </bottom>
      <diagonal/>
    </border>
    <border>
      <left style="thin">
        <color rgb="FF3A3A3C"/>
      </left>
      <right/>
      <top style="thin">
        <color rgb="FF3A3A3C"/>
      </top>
      <bottom style="thin">
        <color rgb="FF3A3A3C"/>
      </bottom>
      <diagonal/>
    </border>
    <border>
      <left/>
      <right style="thin">
        <color rgb="FF3A3A3C"/>
      </right>
      <top/>
      <bottom/>
      <diagonal/>
    </border>
  </borders>
  <cellStyleXfs count="3">
    <xf numFmtId="0" fontId="0" fillId="0" borderId="0"/>
    <xf numFmtId="43" fontId="30" fillId="0" borderId="0"/>
    <xf numFmtId="0" fontId="43" fillId="0" borderId="0" applyNumberFormat="0" applyFill="0" applyBorder="0" applyAlignment="0" applyProtection="0"/>
  </cellStyleXfs>
  <cellXfs count="142">
    <xf numFmtId="0" fontId="0" fillId="0" borderId="0" xfId="0"/>
    <xf numFmtId="0" fontId="0" fillId="2" borderId="0" xfId="0" applyFill="1"/>
    <xf numFmtId="0" fontId="0" fillId="3" borderId="0" xfId="0" applyFill="1"/>
    <xf numFmtId="0" fontId="7" fillId="2" borderId="0" xfId="0" applyFont="1" applyFill="1" applyAlignment="1">
      <alignment horizontal="right" vertical="center"/>
    </xf>
    <xf numFmtId="0" fontId="7" fillId="2" borderId="0" xfId="0" applyFont="1" applyFill="1" applyAlignment="1">
      <alignment horizontal="left" vertical="center"/>
    </xf>
    <xf numFmtId="0" fontId="0" fillId="6" borderId="0" xfId="0" applyFill="1"/>
    <xf numFmtId="0" fontId="0" fillId="7" borderId="0" xfId="0" applyFill="1"/>
    <xf numFmtId="0" fontId="0" fillId="9" borderId="0" xfId="0" applyFill="1"/>
    <xf numFmtId="49" fontId="39" fillId="7" borderId="0" xfId="0" applyNumberFormat="1" applyFont="1" applyFill="1" applyAlignment="1">
      <alignment horizontal="left" vertical="top"/>
    </xf>
    <xf numFmtId="49" fontId="39" fillId="7" borderId="0" xfId="0" applyNumberFormat="1" applyFont="1" applyFill="1" applyAlignment="1">
      <alignment horizontal="left"/>
    </xf>
    <xf numFmtId="0" fontId="38" fillId="7" borderId="0" xfId="0" applyFont="1" applyFill="1" applyAlignment="1">
      <alignment horizontal="left"/>
    </xf>
    <xf numFmtId="49" fontId="39" fillId="7" borderId="0" xfId="0" applyNumberFormat="1" applyFont="1" applyFill="1"/>
    <xf numFmtId="0" fontId="38" fillId="7" borderId="0" xfId="0" applyFont="1" applyFill="1"/>
    <xf numFmtId="0" fontId="12" fillId="7" borderId="10" xfId="0" applyFont="1" applyFill="1" applyBorder="1" applyAlignment="1">
      <alignment horizontal="left"/>
    </xf>
    <xf numFmtId="0" fontId="5" fillId="6" borderId="3" xfId="0" applyFont="1" applyFill="1" applyBorder="1" applyAlignment="1">
      <alignment horizontal="center"/>
    </xf>
    <xf numFmtId="0" fontId="7" fillId="7" borderId="0" xfId="0" applyFont="1" applyFill="1" applyAlignment="1">
      <alignment horizontal="left"/>
    </xf>
    <xf numFmtId="0" fontId="23" fillId="6" borderId="1" xfId="0" applyFont="1" applyFill="1" applyBorder="1" applyAlignment="1">
      <alignment horizontal="center"/>
    </xf>
    <xf numFmtId="0" fontId="37" fillId="6" borderId="1" xfId="0" applyFont="1" applyFill="1" applyBorder="1" applyAlignment="1">
      <alignment horizontal="center"/>
    </xf>
    <xf numFmtId="0" fontId="41" fillId="6" borderId="1" xfId="0" applyFont="1" applyFill="1" applyBorder="1" applyAlignment="1">
      <alignment horizontal="center"/>
    </xf>
    <xf numFmtId="0" fontId="1" fillId="7" borderId="0" xfId="0" applyFont="1" applyFill="1" applyAlignment="1">
      <alignment horizontal="left" vertical="center" indent="1"/>
    </xf>
    <xf numFmtId="0" fontId="0" fillId="4" borderId="0" xfId="0" applyFill="1"/>
    <xf numFmtId="0" fontId="7" fillId="4" borderId="0" xfId="0" applyFont="1" applyFill="1" applyAlignment="1">
      <alignment horizontal="right" vertical="center" indent="1"/>
    </xf>
    <xf numFmtId="0" fontId="19" fillId="3" borderId="0" xfId="0" applyFont="1" applyFill="1" applyAlignment="1">
      <alignment horizontal="left" vertical="center" indent="1"/>
    </xf>
    <xf numFmtId="0" fontId="15" fillId="3" borderId="0" xfId="0" applyFont="1" applyFill="1" applyAlignment="1">
      <alignment horizontal="left" vertical="center" indent="1"/>
    </xf>
    <xf numFmtId="164" fontId="23" fillId="3" borderId="0" xfId="0" applyNumberFormat="1" applyFont="1" applyFill="1" applyAlignment="1">
      <alignment horizontal="right" vertical="center"/>
    </xf>
    <xf numFmtId="169" fontId="23" fillId="3" borderId="0" xfId="0" applyNumberFormat="1" applyFont="1" applyFill="1" applyAlignment="1">
      <alignment horizontal="right" vertical="center"/>
    </xf>
    <xf numFmtId="165" fontId="23" fillId="3" borderId="0" xfId="0" applyNumberFormat="1" applyFont="1" applyFill="1" applyAlignment="1">
      <alignment horizontal="right" vertical="center"/>
    </xf>
    <xf numFmtId="0" fontId="12" fillId="4" borderId="4" xfId="0" applyFont="1" applyFill="1" applyBorder="1" applyAlignment="1">
      <alignment horizontal="left" vertical="center" indent="1"/>
    </xf>
    <xf numFmtId="0" fontId="12" fillId="4" borderId="4" xfId="0" applyFont="1" applyFill="1" applyBorder="1" applyAlignment="1">
      <alignment horizontal="center" vertical="center"/>
    </xf>
    <xf numFmtId="164" fontId="8" fillId="3" borderId="0" xfId="0" applyNumberFormat="1" applyFont="1" applyFill="1" applyAlignment="1">
      <alignment horizontal="right" vertical="center"/>
    </xf>
    <xf numFmtId="0" fontId="18" fillId="3" borderId="0" xfId="0" applyFont="1" applyFill="1" applyAlignment="1">
      <alignment horizontal="left" vertical="center" indent="1"/>
    </xf>
    <xf numFmtId="165" fontId="8" fillId="3" borderId="0" xfId="0" applyNumberFormat="1" applyFont="1" applyFill="1" applyAlignment="1">
      <alignment horizontal="right" vertical="center"/>
    </xf>
    <xf numFmtId="165" fontId="7" fillId="3" borderId="0" xfId="0" applyNumberFormat="1" applyFont="1" applyFill="1" applyAlignment="1">
      <alignment horizontal="right" vertical="center"/>
    </xf>
    <xf numFmtId="0" fontId="12" fillId="4" borderId="4" xfId="0" applyFont="1" applyFill="1" applyBorder="1" applyAlignment="1">
      <alignment horizontal="left" vertical="center"/>
    </xf>
    <xf numFmtId="170" fontId="23" fillId="3" borderId="0" xfId="0" applyNumberFormat="1" applyFont="1" applyFill="1" applyAlignment="1">
      <alignment horizontal="right" vertical="center"/>
    </xf>
    <xf numFmtId="0" fontId="9" fillId="3" borderId="0" xfId="0" applyFont="1" applyFill="1" applyAlignment="1">
      <alignment horizontal="left" vertical="center" indent="1"/>
    </xf>
    <xf numFmtId="168" fontId="23" fillId="3" borderId="0" xfId="0" applyNumberFormat="1" applyFont="1" applyFill="1" applyAlignment="1">
      <alignment horizontal="right" vertical="center"/>
    </xf>
    <xf numFmtId="167" fontId="23" fillId="3" borderId="0" xfId="0" applyNumberFormat="1" applyFont="1" applyFill="1" applyAlignment="1">
      <alignment horizontal="right" vertical="center"/>
    </xf>
    <xf numFmtId="0" fontId="12" fillId="5" borderId="0" xfId="0" applyFont="1" applyFill="1" applyAlignment="1">
      <alignment horizontal="center"/>
    </xf>
    <xf numFmtId="0" fontId="4" fillId="3" borderId="0" xfId="0" applyFont="1" applyFill="1" applyAlignment="1">
      <alignment horizontal="left" vertical="center" indent="1"/>
    </xf>
    <xf numFmtId="168" fontId="23" fillId="6" borderId="7" xfId="0" applyNumberFormat="1" applyFont="1" applyFill="1" applyBorder="1" applyAlignment="1">
      <alignment horizontal="right"/>
    </xf>
    <xf numFmtId="0" fontId="28" fillId="3" borderId="0" xfId="0" applyFont="1" applyFill="1" applyAlignment="1">
      <alignment horizontal="left" vertical="center" indent="1"/>
    </xf>
    <xf numFmtId="168" fontId="23" fillId="6" borderId="0" xfId="0" applyNumberFormat="1" applyFont="1" applyFill="1" applyAlignment="1">
      <alignment horizontal="right"/>
    </xf>
    <xf numFmtId="0" fontId="29" fillId="3" borderId="0" xfId="0" applyFont="1" applyFill="1" applyAlignment="1">
      <alignment horizontal="left" vertical="center" indent="1"/>
    </xf>
    <xf numFmtId="168" fontId="33" fillId="6" borderId="0" xfId="0" applyNumberFormat="1" applyFont="1" applyFill="1" applyAlignment="1">
      <alignment horizontal="right"/>
    </xf>
    <xf numFmtId="168" fontId="3" fillId="3" borderId="1" xfId="0" applyNumberFormat="1" applyFont="1" applyFill="1" applyBorder="1" applyAlignment="1" applyProtection="1">
      <alignment horizontal="right" vertical="center"/>
      <protection locked="0"/>
    </xf>
    <xf numFmtId="49" fontId="2" fillId="3" borderId="1" xfId="0" applyNumberFormat="1" applyFont="1" applyFill="1" applyBorder="1" applyAlignment="1" applyProtection="1">
      <alignment horizontal="left" vertical="center"/>
      <protection locked="0"/>
    </xf>
    <xf numFmtId="164" fontId="3" fillId="3" borderId="1" xfId="0" applyNumberFormat="1" applyFont="1" applyFill="1" applyBorder="1" applyAlignment="1" applyProtection="1">
      <alignment horizontal="right" vertical="center"/>
      <protection locked="0"/>
    </xf>
    <xf numFmtId="167" fontId="3" fillId="3" borderId="1" xfId="0" applyNumberFormat="1" applyFont="1" applyFill="1" applyBorder="1" applyAlignment="1" applyProtection="1">
      <alignment horizontal="right" vertical="center"/>
      <protection locked="0"/>
    </xf>
    <xf numFmtId="165" fontId="3" fillId="3" borderId="1" xfId="0" applyNumberFormat="1" applyFont="1" applyFill="1" applyBorder="1" applyAlignment="1" applyProtection="1">
      <alignment horizontal="right" vertical="center"/>
      <protection locked="0"/>
    </xf>
    <xf numFmtId="0" fontId="0" fillId="2" borderId="0" xfId="0" applyFill="1" applyProtection="1">
      <protection locked="0"/>
    </xf>
    <xf numFmtId="170" fontId="3" fillId="3" borderId="1" xfId="0" applyNumberFormat="1" applyFont="1" applyFill="1" applyBorder="1" applyAlignment="1" applyProtection="1">
      <alignment horizontal="right" vertical="center"/>
      <protection locked="0"/>
    </xf>
    <xf numFmtId="164" fontId="23" fillId="3" borderId="0" xfId="0" applyNumberFormat="1" applyFont="1" applyFill="1" applyAlignment="1" applyProtection="1">
      <alignment horizontal="right" vertical="center"/>
      <protection locked="0"/>
    </xf>
    <xf numFmtId="165" fontId="21" fillId="2" borderId="0" xfId="0" applyNumberFormat="1" applyFont="1" applyFill="1" applyAlignment="1" applyProtection="1">
      <alignment horizontal="right" vertical="center"/>
      <protection locked="0"/>
    </xf>
    <xf numFmtId="165" fontId="23" fillId="3" borderId="0" xfId="0" applyNumberFormat="1" applyFont="1" applyFill="1" applyAlignment="1" applyProtection="1">
      <alignment horizontal="right" vertical="center"/>
      <protection locked="0"/>
    </xf>
    <xf numFmtId="0" fontId="7" fillId="7" borderId="0" xfId="0" applyFont="1" applyFill="1" applyAlignment="1">
      <alignment horizontal="right" vertical="center"/>
    </xf>
    <xf numFmtId="0" fontId="7" fillId="8" borderId="0" xfId="0" applyFont="1" applyFill="1" applyAlignment="1">
      <alignment horizontal="left" vertical="center" indent="1"/>
    </xf>
    <xf numFmtId="0" fontId="17" fillId="4" borderId="0" xfId="0" applyFont="1" applyFill="1" applyAlignment="1">
      <alignment horizontal="left" vertical="center" indent="1"/>
    </xf>
    <xf numFmtId="0" fontId="20" fillId="4" borderId="0" xfId="0" applyFont="1" applyFill="1" applyAlignment="1">
      <alignment horizontal="left" vertical="center" indent="1"/>
    </xf>
    <xf numFmtId="0" fontId="10" fillId="4" borderId="4" xfId="0" applyFont="1" applyFill="1" applyBorder="1" applyAlignment="1">
      <alignment horizontal="center" vertical="center"/>
    </xf>
    <xf numFmtId="0" fontId="10" fillId="4" borderId="0" xfId="0" applyFont="1" applyFill="1" applyAlignment="1">
      <alignment horizontal="left" vertical="center" indent="1"/>
    </xf>
    <xf numFmtId="0" fontId="12" fillId="3" borderId="0" xfId="0" applyFont="1" applyFill="1" applyAlignment="1">
      <alignment horizontal="left" vertical="center"/>
    </xf>
    <xf numFmtId="166" fontId="21" fillId="3" borderId="0" xfId="0" applyNumberFormat="1" applyFont="1" applyFill="1" applyAlignment="1">
      <alignment horizontal="right" vertical="center"/>
    </xf>
    <xf numFmtId="166" fontId="10" fillId="3" borderId="0" xfId="0" applyNumberFormat="1" applyFont="1" applyFill="1" applyAlignment="1">
      <alignment horizontal="right" vertical="center"/>
    </xf>
    <xf numFmtId="0" fontId="18" fillId="3" borderId="7" xfId="0" applyFont="1" applyFill="1" applyBorder="1" applyAlignment="1">
      <alignment horizontal="left" vertical="center" indent="1"/>
    </xf>
    <xf numFmtId="166" fontId="10" fillId="3" borderId="7" xfId="0" applyNumberFormat="1" applyFont="1" applyFill="1" applyBorder="1" applyAlignment="1">
      <alignment horizontal="right" vertical="center"/>
    </xf>
    <xf numFmtId="0" fontId="18" fillId="3" borderId="8" xfId="0" applyFont="1" applyFill="1" applyBorder="1" applyAlignment="1">
      <alignment horizontal="left" vertical="center" indent="1"/>
    </xf>
    <xf numFmtId="166" fontId="10" fillId="3" borderId="8" xfId="0" applyNumberFormat="1" applyFont="1" applyFill="1" applyBorder="1" applyAlignment="1">
      <alignment horizontal="right" vertical="center"/>
    </xf>
    <xf numFmtId="165" fontId="22" fillId="3" borderId="0" xfId="0" applyNumberFormat="1" applyFont="1" applyFill="1" applyAlignment="1">
      <alignment horizontal="right" vertical="center"/>
    </xf>
    <xf numFmtId="164" fontId="21" fillId="3" borderId="0" xfId="0" applyNumberFormat="1" applyFont="1" applyFill="1" applyAlignment="1">
      <alignment horizontal="right" vertical="center"/>
    </xf>
    <xf numFmtId="164" fontId="10" fillId="3" borderId="0" xfId="0" applyNumberFormat="1" applyFont="1" applyFill="1" applyAlignment="1">
      <alignment horizontal="right" vertical="center"/>
    </xf>
    <xf numFmtId="164" fontId="10" fillId="3" borderId="8" xfId="0" applyNumberFormat="1" applyFont="1" applyFill="1" applyBorder="1" applyAlignment="1">
      <alignment horizontal="right" vertical="center"/>
    </xf>
    <xf numFmtId="164" fontId="10" fillId="3" borderId="7" xfId="0" applyNumberFormat="1" applyFont="1" applyFill="1" applyBorder="1" applyAlignment="1">
      <alignment horizontal="right" vertical="center"/>
    </xf>
    <xf numFmtId="167" fontId="21" fillId="3" borderId="0" xfId="0" applyNumberFormat="1" applyFont="1" applyFill="1" applyAlignment="1">
      <alignment horizontal="right" vertical="center"/>
    </xf>
    <xf numFmtId="167" fontId="10" fillId="3" borderId="0" xfId="0" applyNumberFormat="1" applyFont="1" applyFill="1" applyAlignment="1">
      <alignment horizontal="right" vertical="center"/>
    </xf>
    <xf numFmtId="165" fontId="21" fillId="3" borderId="0" xfId="0" applyNumberFormat="1" applyFont="1" applyFill="1" applyAlignment="1">
      <alignment horizontal="right" vertical="center"/>
    </xf>
    <xf numFmtId="165" fontId="10" fillId="3" borderId="0" xfId="0" applyNumberFormat="1" applyFont="1" applyFill="1" applyAlignment="1">
      <alignment horizontal="right" vertical="center"/>
    </xf>
    <xf numFmtId="0" fontId="24" fillId="3" borderId="0" xfId="0" applyFont="1" applyFill="1" applyAlignment="1">
      <alignment horizontal="left" vertical="center" indent="1"/>
    </xf>
    <xf numFmtId="169" fontId="7" fillId="3" borderId="0" xfId="0" applyNumberFormat="1" applyFont="1" applyFill="1" applyAlignment="1">
      <alignment horizontal="right" vertical="center"/>
    </xf>
    <xf numFmtId="0" fontId="8" fillId="3" borderId="0" xfId="0" applyFont="1" applyFill="1" applyAlignment="1">
      <alignment horizontal="center" vertical="center"/>
    </xf>
    <xf numFmtId="0" fontId="36" fillId="6" borderId="0" xfId="0" applyFont="1" applyFill="1" applyAlignment="1">
      <alignment horizontal="left"/>
    </xf>
    <xf numFmtId="169" fontId="7" fillId="6" borderId="0" xfId="0" applyNumberFormat="1" applyFont="1" applyFill="1" applyAlignment="1">
      <alignment horizontal="right"/>
    </xf>
    <xf numFmtId="0" fontId="31" fillId="6" borderId="0" xfId="0" applyFont="1" applyFill="1" applyAlignment="1">
      <alignment horizontal="center"/>
    </xf>
    <xf numFmtId="0" fontId="25" fillId="4" borderId="0" xfId="0" applyFont="1" applyFill="1" applyAlignment="1">
      <alignment horizontal="left" vertical="center" indent="1"/>
    </xf>
    <xf numFmtId="170" fontId="21" fillId="3" borderId="0" xfId="0" applyNumberFormat="1" applyFont="1" applyFill="1" applyAlignment="1">
      <alignment horizontal="right" vertical="center"/>
    </xf>
    <xf numFmtId="169" fontId="10" fillId="3" borderId="0" xfId="0" applyNumberFormat="1" applyFont="1" applyFill="1" applyAlignment="1">
      <alignment horizontal="right" vertical="center"/>
    </xf>
    <xf numFmtId="0" fontId="7" fillId="3" borderId="0" xfId="0" applyFont="1" applyFill="1" applyAlignment="1">
      <alignment horizontal="right" vertical="center" indent="1"/>
    </xf>
    <xf numFmtId="0" fontId="24" fillId="3" borderId="0" xfId="0" applyFont="1" applyFill="1"/>
    <xf numFmtId="171" fontId="21" fillId="3" borderId="0" xfId="0" applyNumberFormat="1" applyFont="1" applyFill="1"/>
    <xf numFmtId="172" fontId="21" fillId="3" borderId="0" xfId="0" applyNumberFormat="1" applyFont="1" applyFill="1"/>
    <xf numFmtId="0" fontId="24" fillId="2" borderId="0" xfId="0" applyFont="1" applyFill="1"/>
    <xf numFmtId="171" fontId="21" fillId="2" borderId="0" xfId="0" applyNumberFormat="1" applyFont="1" applyFill="1"/>
    <xf numFmtId="0" fontId="15" fillId="8" borderId="0" xfId="0" applyFont="1" applyFill="1" applyAlignment="1">
      <alignment horizontal="left" vertical="center" indent="1"/>
    </xf>
    <xf numFmtId="0" fontId="9" fillId="8" borderId="0" xfId="0" applyFont="1" applyFill="1" applyAlignment="1">
      <alignment horizontal="left" vertical="center" indent="1"/>
    </xf>
    <xf numFmtId="0" fontId="0" fillId="10" borderId="0" xfId="0" applyFill="1"/>
    <xf numFmtId="0" fontId="7" fillId="10" borderId="0" xfId="0" applyFont="1" applyFill="1" applyAlignment="1">
      <alignment horizontal="right" vertical="center" indent="1"/>
    </xf>
    <xf numFmtId="0" fontId="19" fillId="8" borderId="0" xfId="0" applyFont="1" applyFill="1" applyAlignment="1">
      <alignment horizontal="left" vertical="center" indent="1"/>
    </xf>
    <xf numFmtId="0" fontId="9" fillId="8" borderId="0" xfId="0" applyFont="1" applyFill="1" applyAlignment="1">
      <alignment horizontal="left" vertical="center" indent="2"/>
    </xf>
    <xf numFmtId="0" fontId="18" fillId="8" borderId="0" xfId="0" applyFont="1" applyFill="1" applyAlignment="1">
      <alignment horizontal="left" vertical="center" indent="1"/>
    </xf>
    <xf numFmtId="49" fontId="2" fillId="3" borderId="1" xfId="0" applyNumberFormat="1" applyFont="1" applyFill="1" applyBorder="1" applyAlignment="1" applyProtection="1">
      <alignment horizontal="center" vertical="center"/>
      <protection locked="0"/>
    </xf>
    <xf numFmtId="165" fontId="2" fillId="3" borderId="1" xfId="0" applyNumberFormat="1" applyFont="1" applyFill="1" applyBorder="1" applyAlignment="1">
      <alignment horizontal="center" vertical="center"/>
    </xf>
    <xf numFmtId="0" fontId="42" fillId="3" borderId="1" xfId="0" applyFont="1" applyFill="1" applyBorder="1" applyAlignment="1" applyProtection="1">
      <alignment horizontal="center" vertical="center"/>
      <protection locked="0"/>
    </xf>
    <xf numFmtId="0" fontId="19" fillId="6" borderId="0" xfId="0" applyFont="1" applyFill="1" applyAlignment="1">
      <alignment horizontal="left" vertical="top" wrapText="1"/>
    </xf>
    <xf numFmtId="0" fontId="6" fillId="7" borderId="0" xfId="0" applyFont="1" applyFill="1" applyAlignment="1">
      <alignment horizontal="left" vertical="center"/>
    </xf>
    <xf numFmtId="0" fontId="0" fillId="3" borderId="0" xfId="0" applyFill="1"/>
    <xf numFmtId="0" fontId="9" fillId="7" borderId="0" xfId="0" applyFont="1" applyFill="1" applyAlignment="1">
      <alignment horizontal="left" vertical="center"/>
    </xf>
    <xf numFmtId="0" fontId="38" fillId="7" borderId="0" xfId="0" applyFont="1" applyFill="1" applyAlignment="1">
      <alignment horizontal="left" vertical="center"/>
    </xf>
    <xf numFmtId="0" fontId="32" fillId="6" borderId="0" xfId="0" applyFont="1" applyFill="1" applyAlignment="1">
      <alignment horizontal="left" vertical="top" wrapText="1"/>
    </xf>
    <xf numFmtId="0" fontId="32" fillId="6" borderId="0" xfId="0" applyFont="1" applyFill="1" applyAlignment="1">
      <alignment vertical="top" wrapText="1"/>
    </xf>
    <xf numFmtId="0" fontId="6" fillId="2" borderId="0" xfId="0" applyFont="1" applyFill="1" applyAlignment="1">
      <alignment horizontal="left" vertical="center"/>
    </xf>
    <xf numFmtId="0" fontId="9" fillId="2" borderId="0" xfId="0" applyFont="1" applyFill="1" applyAlignment="1">
      <alignment horizontal="left" vertical="center"/>
    </xf>
    <xf numFmtId="0" fontId="11" fillId="4" borderId="5" xfId="0" applyFont="1" applyFill="1" applyBorder="1" applyAlignment="1">
      <alignment horizontal="right" vertical="center"/>
    </xf>
    <xf numFmtId="0" fontId="0" fillId="3" borderId="6" xfId="0" applyFill="1" applyBorder="1"/>
    <xf numFmtId="164" fontId="14" fillId="8" borderId="0" xfId="0" applyNumberFormat="1" applyFont="1" applyFill="1" applyAlignment="1">
      <alignment horizontal="left" vertical="center" indent="1"/>
    </xf>
    <xf numFmtId="0" fontId="0" fillId="8" borderId="0" xfId="0" applyFill="1"/>
    <xf numFmtId="0" fontId="12" fillId="4" borderId="5" xfId="0" applyFont="1" applyFill="1" applyBorder="1" applyAlignment="1">
      <alignment horizontal="center" vertical="center"/>
    </xf>
    <xf numFmtId="0" fontId="15" fillId="8" borderId="0" xfId="0" applyFont="1" applyFill="1" applyAlignment="1">
      <alignment horizontal="left" vertical="center" indent="1"/>
    </xf>
    <xf numFmtId="0" fontId="7" fillId="8" borderId="0" xfId="0" applyFont="1" applyFill="1" applyAlignment="1">
      <alignment horizontal="left" vertical="center" indent="1"/>
    </xf>
    <xf numFmtId="0" fontId="5" fillId="6" borderId="9" xfId="0" applyFont="1" applyFill="1" applyBorder="1" applyAlignment="1" applyProtection="1">
      <alignment horizontal="left" vertical="center" indent="1"/>
      <protection locked="0"/>
    </xf>
    <xf numFmtId="0" fontId="5" fillId="6" borderId="2" xfId="0" applyFont="1" applyFill="1" applyBorder="1" applyAlignment="1" applyProtection="1">
      <alignment horizontal="left" vertical="center"/>
      <protection locked="0"/>
    </xf>
    <xf numFmtId="0" fontId="5" fillId="6" borderId="3" xfId="0" applyFont="1" applyFill="1" applyBorder="1" applyAlignment="1" applyProtection="1">
      <alignment horizontal="left" vertical="center"/>
      <protection locked="0"/>
    </xf>
    <xf numFmtId="0" fontId="27" fillId="4" borderId="0" xfId="0" applyFont="1" applyFill="1" applyAlignment="1">
      <alignment horizontal="center" vertical="center"/>
    </xf>
    <xf numFmtId="167" fontId="23" fillId="3" borderId="0" xfId="0" applyNumberFormat="1" applyFont="1" applyFill="1" applyAlignment="1">
      <alignment horizontal="right" vertical="center"/>
    </xf>
    <xf numFmtId="0" fontId="8" fillId="3" borderId="0" xfId="0" applyFont="1" applyFill="1" applyAlignment="1">
      <alignment horizontal="center" vertical="center"/>
    </xf>
    <xf numFmtId="168" fontId="8" fillId="3" borderId="0" xfId="0" applyNumberFormat="1" applyFont="1" applyFill="1" applyAlignment="1">
      <alignment horizontal="right" vertical="center"/>
    </xf>
    <xf numFmtId="169" fontId="7" fillId="3" borderId="0" xfId="0" applyNumberFormat="1" applyFont="1" applyFill="1" applyAlignment="1">
      <alignment horizontal="right" vertical="center"/>
    </xf>
    <xf numFmtId="164" fontId="8" fillId="3" borderId="0" xfId="0" applyNumberFormat="1" applyFont="1" applyFill="1" applyAlignment="1">
      <alignment horizontal="right" vertical="center"/>
    </xf>
    <xf numFmtId="165" fontId="23" fillId="3" borderId="0" xfId="0" applyNumberFormat="1" applyFont="1" applyFill="1" applyAlignment="1">
      <alignment horizontal="right" vertical="center"/>
    </xf>
    <xf numFmtId="165" fontId="14" fillId="8" borderId="0" xfId="0" applyNumberFormat="1" applyFont="1" applyFill="1" applyAlignment="1">
      <alignment horizontal="left" vertical="center" indent="1"/>
    </xf>
    <xf numFmtId="164" fontId="16" fillId="8" borderId="0" xfId="0" applyNumberFormat="1" applyFont="1" applyFill="1" applyAlignment="1">
      <alignment horizontal="left" vertical="center" indent="1"/>
    </xf>
    <xf numFmtId="168" fontId="23" fillId="3" borderId="0" xfId="0" applyNumberFormat="1" applyFont="1" applyFill="1" applyAlignment="1">
      <alignment horizontal="right" vertical="center"/>
    </xf>
    <xf numFmtId="0" fontId="13" fillId="4" borderId="5" xfId="0" applyFont="1" applyFill="1" applyBorder="1" applyAlignment="1">
      <alignment horizontal="right" vertical="center"/>
    </xf>
    <xf numFmtId="0" fontId="1" fillId="4" borderId="5" xfId="0" applyFont="1" applyFill="1" applyBorder="1" applyAlignment="1">
      <alignment horizontal="right" vertical="center"/>
    </xf>
    <xf numFmtId="167" fontId="8" fillId="3" borderId="0" xfId="0" applyNumberFormat="1" applyFont="1" applyFill="1" applyAlignment="1">
      <alignment horizontal="right" vertical="center"/>
    </xf>
    <xf numFmtId="165" fontId="8" fillId="3" borderId="0" xfId="0" applyNumberFormat="1" applyFont="1" applyFill="1" applyAlignment="1">
      <alignment horizontal="right" vertical="center"/>
    </xf>
    <xf numFmtId="0" fontId="26" fillId="4" borderId="0" xfId="0" applyFont="1" applyFill="1" applyAlignment="1">
      <alignment horizontal="center" vertical="center"/>
    </xf>
    <xf numFmtId="0" fontId="17" fillId="10" borderId="0" xfId="0" applyFont="1" applyFill="1" applyAlignment="1">
      <alignment horizontal="left" vertical="center" indent="1"/>
    </xf>
    <xf numFmtId="0" fontId="12" fillId="4" borderId="5" xfId="0" applyFont="1" applyFill="1" applyBorder="1" applyAlignment="1">
      <alignment horizontal="left" vertical="center"/>
    </xf>
    <xf numFmtId="0" fontId="9" fillId="3" borderId="0" xfId="0" applyFont="1" applyFill="1" applyAlignment="1">
      <alignment horizontal="left" vertical="center" indent="1"/>
    </xf>
    <xf numFmtId="0" fontId="15" fillId="3" borderId="0" xfId="0" applyFont="1" applyFill="1" applyAlignment="1">
      <alignment horizontal="left" vertical="center" indent="1"/>
    </xf>
    <xf numFmtId="0" fontId="40" fillId="7" borderId="0" xfId="0" applyFont="1" applyFill="1" applyAlignment="1">
      <alignment horizontal="left"/>
    </xf>
    <xf numFmtId="0" fontId="44" fillId="7" borderId="0" xfId="2" applyFont="1" applyFill="1" applyAlignment="1">
      <alignment horizontal="left"/>
    </xf>
  </cellXfs>
  <cellStyles count="3">
    <cellStyle name="Comma 2" xfId="1" xr:uid="{EF0EA3DE-1890-A749-AB8C-27439AE1EE57}"/>
    <cellStyle name="Hyperlink" xfId="2" builtinId="8"/>
    <cellStyle name="Normal" xfId="0" builtinId="0"/>
  </cellStyles>
  <dxfs count="18">
    <dxf>
      <font>
        <b/>
        <sz val="11"/>
        <color rgb="FFE5484D"/>
        <name val="Consolas"/>
      </font>
      <fill>
        <patternFill patternType="solid">
          <fgColor rgb="FF1C1C1E"/>
          <bgColor rgb="FF1C1C1E"/>
        </patternFill>
      </fill>
    </dxf>
    <dxf>
      <font>
        <b/>
        <sz val="11"/>
        <color rgb="FF10B981"/>
        <name val="Consolas"/>
      </font>
    </dxf>
    <dxf>
      <font>
        <b/>
        <sz val="11"/>
        <color rgb="FFE5484D"/>
        <name val="Consolas"/>
      </font>
      <fill>
        <patternFill patternType="solid">
          <fgColor rgb="FF1C1C1E"/>
          <bgColor rgb="FF1C1C1E"/>
        </patternFill>
      </fill>
    </dxf>
    <dxf>
      <font>
        <b/>
        <sz val="11"/>
        <color rgb="FF10B981"/>
        <name val="Consolas"/>
      </font>
    </dxf>
    <dxf>
      <font>
        <color rgb="FFE5484D"/>
      </font>
      <fill>
        <patternFill patternType="solid">
          <fgColor indexed="64"/>
          <bgColor rgb="FF231415"/>
        </patternFill>
      </fill>
    </dxf>
    <dxf>
      <font>
        <color rgb="FF10B981"/>
      </font>
      <fill>
        <patternFill patternType="solid">
          <fgColor indexed="64"/>
          <bgColor rgb="FF0D1F17"/>
        </patternFill>
      </fill>
    </dxf>
    <dxf>
      <font>
        <b/>
        <sz val="11"/>
        <color rgb="FFE5484D"/>
        <name val="Consolas"/>
      </font>
    </dxf>
    <dxf>
      <font>
        <b/>
        <sz val="11"/>
        <color rgb="FFFFC857"/>
        <name val="Consolas"/>
      </font>
    </dxf>
    <dxf>
      <font>
        <b/>
        <sz val="18"/>
        <color rgb="FFE5484D"/>
        <name val="Consolas"/>
      </font>
      <fill>
        <patternFill patternType="solid">
          <fgColor rgb="FF26282B"/>
          <bgColor rgb="FF26282B"/>
        </patternFill>
      </fill>
    </dxf>
    <dxf>
      <font>
        <b/>
        <sz val="11"/>
        <color rgb="FFE5484D"/>
        <name val="Consolas"/>
      </font>
      <fill>
        <patternFill patternType="solid">
          <fgColor rgb="FF1C1C1E"/>
          <bgColor rgb="FF1C1C1E"/>
        </patternFill>
      </fill>
    </dxf>
    <dxf>
      <font>
        <b/>
        <sz val="11"/>
        <color rgb="FF10B981"/>
        <name val="Consolas"/>
      </font>
    </dxf>
    <dxf>
      <font>
        <color rgb="FFE5484D"/>
      </font>
      <fill>
        <patternFill patternType="solid">
          <fgColor indexed="64"/>
          <bgColor rgb="FF231415"/>
        </patternFill>
      </fill>
    </dxf>
    <dxf>
      <font>
        <color rgb="FF10B981"/>
      </font>
      <fill>
        <patternFill patternType="solid">
          <fgColor indexed="64"/>
          <bgColor rgb="FF0D1F17"/>
        </patternFill>
      </fill>
    </dxf>
    <dxf>
      <font>
        <b/>
        <sz val="11"/>
        <color rgb="FF10B981"/>
        <name val="Consolas"/>
      </font>
    </dxf>
    <dxf>
      <font>
        <b/>
        <sz val="11"/>
        <color rgb="FFFFC857"/>
        <name val="Consolas"/>
      </font>
    </dxf>
    <dxf>
      <font>
        <b/>
        <sz val="11"/>
        <color rgb="FFE5484D"/>
        <name val="Consolas"/>
      </font>
    </dxf>
    <dxf>
      <font>
        <b/>
        <sz val="11"/>
        <color rgb="FFFFC857"/>
        <name val="Consolas"/>
      </font>
    </dxf>
    <dxf>
      <font>
        <b/>
        <sz val="18"/>
        <color rgb="FFE5484D"/>
        <name val="Consolas"/>
      </font>
      <fill>
        <patternFill patternType="solid">
          <fgColor rgb="FF26282B"/>
          <bgColor rgb="FF26282B"/>
        </patternFill>
      </fill>
    </dxf>
  </dxfs>
  <tableStyles count="0" defaultTableStyle="TableStyleMedium9" defaultPivotStyle="PivotStyleLight16"/>
  <colors>
    <mruColors>
      <color rgb="FF0D0D0D"/>
      <color rgb="FF1C1C1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1"/>
  <c:style val="2"/>
  <c:chart>
    <c:autoTitleDeleted val="1"/>
    <c:plotArea>
      <c:layout/>
      <c:lineChart>
        <c:grouping val="standard"/>
        <c:varyColors val="1"/>
        <c:ser>
          <c:idx val="0"/>
          <c:order val="0"/>
          <c:tx>
            <c:v>Closing cash</c:v>
          </c:tx>
          <c:spPr>
            <a:ln w="28000">
              <a:solidFill>
                <a:srgbClr val="1E50FF"/>
              </a:solidFill>
              <a:prstDash val="solid"/>
            </a:ln>
          </c:spPr>
          <c:marker>
            <c:symbol val="none"/>
          </c:marker>
          <c:cat>
            <c:strRef>
              <c:f>Model!$C$49:$N$49</c:f>
              <c:strCache>
                <c:ptCount val="12"/>
                <c:pt idx="0">
                  <c:v>M1 · Jul</c:v>
                </c:pt>
                <c:pt idx="1">
                  <c:v>M2 · Aug</c:v>
                </c:pt>
                <c:pt idx="2">
                  <c:v>M3 · Sep</c:v>
                </c:pt>
                <c:pt idx="3">
                  <c:v>M4 · Oct</c:v>
                </c:pt>
                <c:pt idx="4">
                  <c:v>M5 · Nov</c:v>
                </c:pt>
                <c:pt idx="5">
                  <c:v>M6 · Dec</c:v>
                </c:pt>
                <c:pt idx="6">
                  <c:v>M7 · Jan</c:v>
                </c:pt>
                <c:pt idx="7">
                  <c:v>M8 · Feb</c:v>
                </c:pt>
                <c:pt idx="8">
                  <c:v>M9 · Mar</c:v>
                </c:pt>
                <c:pt idx="9">
                  <c:v>M10 · Apr</c:v>
                </c:pt>
                <c:pt idx="10">
                  <c:v>M11 · May</c:v>
                </c:pt>
                <c:pt idx="11">
                  <c:v>M12 · Jun</c:v>
                </c:pt>
              </c:strCache>
            </c:strRef>
          </c:cat>
          <c:val>
            <c:numRef>
              <c:f>Model!$AE$291:$AP$291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0-92DD-714A-B0A4-D0D7626E6BFE}"/>
            </c:ext>
          </c:extLst>
        </c:ser>
        <c:ser>
          <c:idx val="1"/>
          <c:order val="1"/>
          <c:tx>
            <c:v>Revenue</c:v>
          </c:tx>
          <c:spPr>
            <a:ln w="22000">
              <a:solidFill>
                <a:srgbClr val="FFC857"/>
              </a:solidFill>
              <a:prstDash val="solid"/>
            </a:ln>
          </c:spPr>
          <c:marker>
            <c:symbol val="none"/>
          </c:marker>
          <c:cat>
            <c:strRef>
              <c:f>Model!$C$49:$N$49</c:f>
              <c:strCache>
                <c:ptCount val="12"/>
                <c:pt idx="0">
                  <c:v>M1 · Jul</c:v>
                </c:pt>
                <c:pt idx="1">
                  <c:v>M2 · Aug</c:v>
                </c:pt>
                <c:pt idx="2">
                  <c:v>M3 · Sep</c:v>
                </c:pt>
                <c:pt idx="3">
                  <c:v>M4 · Oct</c:v>
                </c:pt>
                <c:pt idx="4">
                  <c:v>M5 · Nov</c:v>
                </c:pt>
                <c:pt idx="5">
                  <c:v>M6 · Dec</c:v>
                </c:pt>
                <c:pt idx="6">
                  <c:v>M7 · Jan</c:v>
                </c:pt>
                <c:pt idx="7">
                  <c:v>M8 · Feb</c:v>
                </c:pt>
                <c:pt idx="8">
                  <c:v>M9 · Mar</c:v>
                </c:pt>
                <c:pt idx="9">
                  <c:v>M10 · Apr</c:v>
                </c:pt>
                <c:pt idx="10">
                  <c:v>M11 · May</c:v>
                </c:pt>
                <c:pt idx="11">
                  <c:v>M12 · Jun</c:v>
                </c:pt>
              </c:strCache>
            </c:strRef>
          </c:cat>
          <c:val>
            <c:numRef>
              <c:f>Model!$AE$292:$AP$292</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1-92DD-714A-B0A4-D0D7626E6BFE}"/>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General" sourceLinked="1"/>
        <c:majorTickMark val="none"/>
        <c:minorTickMark val="none"/>
        <c:tickLblPos val="nextTo"/>
        <c:spPr>
          <a:ln>
            <a:solidFill>
              <a:srgbClr val="3A3A3C"/>
            </a:solidFill>
            <a:prstDash val="solid"/>
          </a:ln>
        </c:spPr>
        <c:txPr>
          <a:bodyPr/>
          <a:lstStyle/>
          <a:p>
            <a:pPr>
              <a:defRPr>
                <a:solidFill>
                  <a:srgbClr val="8896B3"/>
                </a:solidFill>
              </a:defRPr>
            </a:pPr>
            <a:endParaRPr lang="en-US"/>
          </a:p>
        </c:txPr>
        <c:crossAx val="100"/>
        <c:crosses val="autoZero"/>
        <c:auto val="1"/>
        <c:lblAlgn val="ctr"/>
        <c:lblOffset val="100"/>
        <c:noMultiLvlLbl val="1"/>
      </c:catAx>
      <c:valAx>
        <c:axId val="100"/>
        <c:scaling>
          <c:orientation val="minMax"/>
        </c:scaling>
        <c:delete val="0"/>
        <c:axPos val="l"/>
        <c:majorGridlines>
          <c:spPr>
            <a:ln>
              <a:solidFill>
                <a:srgbClr val="26282B"/>
              </a:solidFill>
              <a:prstDash val="solid"/>
            </a:ln>
          </c:spPr>
        </c:majorGridlines>
        <c:numFmt formatCode="&quot;$&quot;#,##0" sourceLinked="0"/>
        <c:majorTickMark val="none"/>
        <c:minorTickMark val="none"/>
        <c:tickLblPos val="nextTo"/>
        <c:spPr>
          <a:ln>
            <a:solidFill>
              <a:srgbClr val="3A3A3C"/>
            </a:solidFill>
            <a:prstDash val="solid"/>
          </a:ln>
        </c:spPr>
        <c:txPr>
          <a:bodyPr/>
          <a:lstStyle/>
          <a:p>
            <a:pPr>
              <a:defRPr>
                <a:solidFill>
                  <a:srgbClr val="8896B3"/>
                </a:solidFill>
              </a:defRPr>
            </a:pPr>
            <a:endParaRPr lang="en-US"/>
          </a:p>
        </c:txPr>
        <c:crossAx val="10"/>
        <c:crosses val="autoZero"/>
        <c:crossBetween val="between"/>
      </c:valAx>
      <c:spPr>
        <a:solidFill>
          <a:srgbClr val="1C1C1E"/>
        </a:solidFill>
        <a:ln>
          <a:prstDash val="solid"/>
        </a:ln>
      </c:spPr>
    </c:plotArea>
    <c:legend>
      <c:legendPos val="b"/>
      <c:overlay val="0"/>
      <c:txPr>
        <a:bodyPr/>
        <a:lstStyle/>
        <a:p>
          <a:pPr>
            <a:defRPr>
              <a:solidFill>
                <a:srgbClr val="F2F2F2"/>
              </a:solidFill>
            </a:defRPr>
          </a:pPr>
          <a:endParaRPr lang="en-US"/>
        </a:p>
      </c:txPr>
    </c:legend>
    <c:plotVisOnly val="0"/>
    <c:dispBlanksAs val="gap"/>
    <c:showDLblsOverMax val="1"/>
  </c:chart>
  <c:spPr>
    <a:solidFill>
      <a:srgbClr val="1C1C1E"/>
    </a:solidFill>
    <a:ln>
      <a:prstDash val="soli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1"/>
  <c:style val="2"/>
  <c:chart>
    <c:autoTitleDeleted val="1"/>
    <c:plotArea>
      <c:layout/>
      <c:barChart>
        <c:barDir val="col"/>
        <c:grouping val="clustered"/>
        <c:varyColors val="1"/>
        <c:ser>
          <c:idx val="0"/>
          <c:order val="0"/>
          <c:tx>
            <c:strRef>
              <c:f>Model!$C$285</c:f>
              <c:strCache>
                <c:ptCount val="1"/>
                <c:pt idx="0">
                  <c:v>Base</c:v>
                </c:pt>
              </c:strCache>
            </c:strRef>
          </c:tx>
          <c:spPr>
            <a:solidFill>
              <a:srgbClr val="1E50FF"/>
            </a:solidFill>
            <a:ln>
              <a:noFill/>
              <a:prstDash val="solid"/>
            </a:ln>
          </c:spPr>
          <c:invertIfNegative val="1"/>
          <c:dLbls>
            <c:spPr>
              <a:noFill/>
              <a:ln>
                <a:noFill/>
              </a:ln>
              <a:effectLst/>
            </c:spPr>
            <c:txPr>
              <a:bodyPr/>
              <a:lstStyle/>
              <a:p>
                <a:pPr>
                  <a:defRPr sz="900" b="0">
                    <a:solidFill>
                      <a:srgbClr val="1A1D21"/>
                    </a:solidFill>
                    <a:latin typeface="Calibri"/>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Model!$B$286:$B$288</c:f>
              <c:strCache>
                <c:ptCount val="3"/>
                <c:pt idx="0">
                  <c:v>EBITDA Y1</c:v>
                </c:pt>
                <c:pt idx="1">
                  <c:v>Closing cash Y1</c:v>
                </c:pt>
                <c:pt idx="2">
                  <c:v>Equity Y1</c:v>
                </c:pt>
              </c:strCache>
            </c:strRef>
          </c:cat>
          <c:val>
            <c:numRef>
              <c:f>Model!$C$286:$C$288</c:f>
              <c:numCache>
                <c:formatCode>"$"#,##0.00,,"M";\("$"#,##0.00,,"M"\);\–</c:formatCode>
                <c:ptCount val="3"/>
                <c:pt idx="0">
                  <c:v>0</c:v>
                </c:pt>
                <c:pt idx="1">
                  <c:v>0</c:v>
                </c:pt>
                <c:pt idx="2">
                  <c:v>0</c:v>
                </c:pt>
              </c:numCache>
            </c:numRef>
          </c:val>
          <c:extLst>
            <c:ext xmlns:c14="http://schemas.microsoft.com/office/drawing/2007/8/2/chart" uri="{6F2FDCE9-48DA-4B69-8628-5D25D57E5C99}">
              <c14:invertSolidFillFmt>
                <c14:spPr xmlns:c14="http://schemas.microsoft.com/office/drawing/2007/8/2/chart">
                  <a:solidFill>
                    <a:srgbClr val="FFFFFF"/>
                  </a:solidFill>
                  <a:ln>
                    <a:noFill/>
                    <a:prstDash val="solid"/>
                  </a:ln>
                </c14:spPr>
              </c14:invertSolidFillFmt>
            </c:ext>
            <c:ext xmlns:c16="http://schemas.microsoft.com/office/drawing/2014/chart" uri="{C3380CC4-5D6E-409C-BE32-E72D297353CC}">
              <c16:uniqueId val="{00000000-E838-EF4C-8BB9-8E133F7F5004}"/>
            </c:ext>
          </c:extLst>
        </c:ser>
        <c:ser>
          <c:idx val="1"/>
          <c:order val="1"/>
          <c:tx>
            <c:strRef>
              <c:f>Model!$D$285</c:f>
              <c:strCache>
                <c:ptCount val="1"/>
                <c:pt idx="0">
                  <c:v>Downside</c:v>
                </c:pt>
              </c:strCache>
            </c:strRef>
          </c:tx>
          <c:spPr>
            <a:solidFill>
              <a:srgbClr val="E5484D"/>
            </a:solidFill>
            <a:ln>
              <a:noFill/>
              <a:prstDash val="solid"/>
            </a:ln>
          </c:spPr>
          <c:invertIfNegative val="1"/>
          <c:dLbls>
            <c:spPr>
              <a:noFill/>
              <a:ln>
                <a:noFill/>
              </a:ln>
              <a:effectLst/>
            </c:spPr>
            <c:txPr>
              <a:bodyPr/>
              <a:lstStyle/>
              <a:p>
                <a:pPr>
                  <a:defRPr sz="900" b="0">
                    <a:solidFill>
                      <a:srgbClr val="1A1D21"/>
                    </a:solidFill>
                    <a:latin typeface="Calibri"/>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Model!$B$286:$B$288</c:f>
              <c:strCache>
                <c:ptCount val="3"/>
                <c:pt idx="0">
                  <c:v>EBITDA Y1</c:v>
                </c:pt>
                <c:pt idx="1">
                  <c:v>Closing cash Y1</c:v>
                </c:pt>
                <c:pt idx="2">
                  <c:v>Equity Y1</c:v>
                </c:pt>
              </c:strCache>
            </c:strRef>
          </c:cat>
          <c:val>
            <c:numRef>
              <c:f>Model!$D$286:$D$288</c:f>
              <c:numCache>
                <c:formatCode>"$"#,##0.00,,"M";\("$"#,##0.00,,"M"\);\–</c:formatCode>
                <c:ptCount val="3"/>
                <c:pt idx="0">
                  <c:v>0</c:v>
                </c:pt>
                <c:pt idx="1">
                  <c:v>0</c:v>
                </c:pt>
                <c:pt idx="2">
                  <c:v>0</c:v>
                </c:pt>
              </c:numCache>
            </c:numRef>
          </c:val>
          <c:extLst>
            <c:ext xmlns:c14="http://schemas.microsoft.com/office/drawing/2007/8/2/chart" uri="{6F2FDCE9-48DA-4B69-8628-5D25D57E5C99}">
              <c14:invertSolidFillFmt>
                <c14:spPr xmlns:c14="http://schemas.microsoft.com/office/drawing/2007/8/2/chart">
                  <a:solidFill>
                    <a:srgbClr val="FFFFFF"/>
                  </a:solidFill>
                  <a:ln>
                    <a:noFill/>
                    <a:prstDash val="solid"/>
                  </a:ln>
                </c14:spPr>
              </c14:invertSolidFillFmt>
            </c:ext>
            <c:ext xmlns:c16="http://schemas.microsoft.com/office/drawing/2014/chart" uri="{C3380CC4-5D6E-409C-BE32-E72D297353CC}">
              <c16:uniqueId val="{00000001-E838-EF4C-8BB9-8E133F7F5004}"/>
            </c:ext>
          </c:extLst>
        </c:ser>
        <c:ser>
          <c:idx val="2"/>
          <c:order val="2"/>
          <c:tx>
            <c:strRef>
              <c:f>Model!$E$285</c:f>
              <c:strCache>
                <c:ptCount val="1"/>
                <c:pt idx="0">
                  <c:v>Upside</c:v>
                </c:pt>
              </c:strCache>
            </c:strRef>
          </c:tx>
          <c:spPr>
            <a:solidFill>
              <a:srgbClr val="10B981"/>
            </a:solidFill>
            <a:ln>
              <a:noFill/>
              <a:prstDash val="solid"/>
            </a:ln>
          </c:spPr>
          <c:invertIfNegative val="1"/>
          <c:dLbls>
            <c:spPr>
              <a:noFill/>
              <a:ln>
                <a:noFill/>
              </a:ln>
              <a:effectLst/>
            </c:spPr>
            <c:txPr>
              <a:bodyPr/>
              <a:lstStyle/>
              <a:p>
                <a:pPr>
                  <a:defRPr sz="900" b="0">
                    <a:solidFill>
                      <a:srgbClr val="1A1D21"/>
                    </a:solidFill>
                    <a:latin typeface="Calibri"/>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Model!$B$286:$B$288</c:f>
              <c:strCache>
                <c:ptCount val="3"/>
                <c:pt idx="0">
                  <c:v>EBITDA Y1</c:v>
                </c:pt>
                <c:pt idx="1">
                  <c:v>Closing cash Y1</c:v>
                </c:pt>
                <c:pt idx="2">
                  <c:v>Equity Y1</c:v>
                </c:pt>
              </c:strCache>
            </c:strRef>
          </c:cat>
          <c:val>
            <c:numRef>
              <c:f>Model!$E$286:$E$288</c:f>
              <c:numCache>
                <c:formatCode>"$"#,##0.00,,"M";\("$"#,##0.00,,"M"\);\–</c:formatCode>
                <c:ptCount val="3"/>
                <c:pt idx="0">
                  <c:v>0</c:v>
                </c:pt>
                <c:pt idx="1">
                  <c:v>0</c:v>
                </c:pt>
                <c:pt idx="2">
                  <c:v>0</c:v>
                </c:pt>
              </c:numCache>
            </c:numRef>
          </c:val>
          <c:extLst>
            <c:ext xmlns:c14="http://schemas.microsoft.com/office/drawing/2007/8/2/chart" uri="{6F2FDCE9-48DA-4B69-8628-5D25D57E5C99}">
              <c14:invertSolidFillFmt>
                <c14:spPr xmlns:c14="http://schemas.microsoft.com/office/drawing/2007/8/2/chart">
                  <a:solidFill>
                    <a:srgbClr val="FFFFFF"/>
                  </a:solidFill>
                  <a:ln>
                    <a:noFill/>
                    <a:prstDash val="solid"/>
                  </a:ln>
                </c14:spPr>
              </c14:invertSolidFillFmt>
            </c:ext>
            <c:ext xmlns:c16="http://schemas.microsoft.com/office/drawing/2014/chart" uri="{C3380CC4-5D6E-409C-BE32-E72D297353CC}">
              <c16:uniqueId val="{00000002-E838-EF4C-8BB9-8E133F7F5004}"/>
            </c:ext>
          </c:extLst>
        </c:ser>
        <c:dLbls>
          <c:dLblPos val="outEnd"/>
          <c:showLegendKey val="0"/>
          <c:showVal val="1"/>
          <c:showCatName val="0"/>
          <c:showSerName val="0"/>
          <c:showPercent val="0"/>
          <c:showBubbleSize val="0"/>
        </c:dLbls>
        <c:gapWidth val="60"/>
        <c:axId val="10"/>
        <c:axId val="100"/>
      </c:barChart>
      <c:catAx>
        <c:axId val="10"/>
        <c:scaling>
          <c:orientation val="minMax"/>
        </c:scaling>
        <c:delete val="0"/>
        <c:axPos val="b"/>
        <c:numFmt formatCode="General" sourceLinked="1"/>
        <c:majorTickMark val="none"/>
        <c:minorTickMark val="none"/>
        <c:tickLblPos val="nextTo"/>
        <c:spPr>
          <a:ln>
            <a:solidFill>
              <a:srgbClr val="3A3A3C"/>
            </a:solidFill>
            <a:prstDash val="solid"/>
          </a:ln>
        </c:spPr>
        <c:txPr>
          <a:bodyPr/>
          <a:lstStyle/>
          <a:p>
            <a:pPr>
              <a:defRPr>
                <a:solidFill>
                  <a:srgbClr val="8896B3"/>
                </a:solidFill>
              </a:defRPr>
            </a:pPr>
            <a:endParaRPr lang="en-US"/>
          </a:p>
        </c:txPr>
        <c:crossAx val="100"/>
        <c:crosses val="autoZero"/>
        <c:auto val="1"/>
        <c:lblAlgn val="ctr"/>
        <c:lblOffset val="100"/>
        <c:noMultiLvlLbl val="1"/>
      </c:catAx>
      <c:valAx>
        <c:axId val="100"/>
        <c:scaling>
          <c:orientation val="minMax"/>
        </c:scaling>
        <c:delete val="0"/>
        <c:axPos val="l"/>
        <c:majorGridlines>
          <c:spPr>
            <a:ln>
              <a:solidFill>
                <a:srgbClr val="26282B"/>
              </a:solidFill>
              <a:prstDash val="solid"/>
            </a:ln>
          </c:spPr>
        </c:majorGridlines>
        <c:numFmt formatCode="&quot;$&quot;#,##0" sourceLinked="0"/>
        <c:majorTickMark val="none"/>
        <c:minorTickMark val="none"/>
        <c:tickLblPos val="nextTo"/>
        <c:spPr>
          <a:ln>
            <a:solidFill>
              <a:srgbClr val="3A3A3C"/>
            </a:solidFill>
            <a:prstDash val="solid"/>
          </a:ln>
        </c:spPr>
        <c:txPr>
          <a:bodyPr/>
          <a:lstStyle/>
          <a:p>
            <a:pPr>
              <a:defRPr>
                <a:solidFill>
                  <a:srgbClr val="8896B3"/>
                </a:solidFill>
              </a:defRPr>
            </a:pPr>
            <a:endParaRPr lang="en-US"/>
          </a:p>
        </c:txPr>
        <c:crossAx val="10"/>
        <c:crosses val="autoZero"/>
        <c:crossBetween val="between"/>
      </c:valAx>
      <c:spPr>
        <a:solidFill>
          <a:srgbClr val="1C1C1E"/>
        </a:solidFill>
        <a:ln>
          <a:prstDash val="solid"/>
        </a:ln>
      </c:spPr>
    </c:plotArea>
    <c:legend>
      <c:legendPos val="b"/>
      <c:overlay val="0"/>
      <c:txPr>
        <a:bodyPr/>
        <a:lstStyle/>
        <a:p>
          <a:pPr>
            <a:defRPr>
              <a:solidFill>
                <a:srgbClr val="F2F2F2"/>
              </a:solidFill>
            </a:defRPr>
          </a:pPr>
          <a:endParaRPr lang="en-US"/>
        </a:p>
      </c:txPr>
    </c:legend>
    <c:plotVisOnly val="0"/>
    <c:dispBlanksAs val="gap"/>
    <c:showDLblsOverMax val="1"/>
  </c:chart>
  <c:spPr>
    <a:solidFill>
      <a:srgbClr val="1C1C1E"/>
    </a:solidFill>
    <a:ln>
      <a:prstDash val="solid"/>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1"/>
  <c:style val="2"/>
  <c:chart>
    <c:autoTitleDeleted val="1"/>
    <c:plotArea>
      <c:layout/>
      <c:lineChart>
        <c:grouping val="standard"/>
        <c:varyColors val="1"/>
        <c:ser>
          <c:idx val="0"/>
          <c:order val="0"/>
          <c:tx>
            <c:v>Interest-bearing debt</c:v>
          </c:tx>
          <c:spPr>
            <a:ln w="24000">
              <a:solidFill>
                <a:srgbClr val="E5484D"/>
              </a:solidFill>
              <a:prstDash val="solid"/>
            </a:ln>
          </c:spPr>
          <c:marker>
            <c:symbol val="none"/>
          </c:marker>
          <c:cat>
            <c:strRef>
              <c:f>Model!$C$49:$N$49</c:f>
              <c:strCache>
                <c:ptCount val="12"/>
                <c:pt idx="0">
                  <c:v>M1 · Jul</c:v>
                </c:pt>
                <c:pt idx="1">
                  <c:v>M2 · Aug</c:v>
                </c:pt>
                <c:pt idx="2">
                  <c:v>M3 · Sep</c:v>
                </c:pt>
                <c:pt idx="3">
                  <c:v>M4 · Oct</c:v>
                </c:pt>
                <c:pt idx="4">
                  <c:v>M5 · Nov</c:v>
                </c:pt>
                <c:pt idx="5">
                  <c:v>M6 · Dec</c:v>
                </c:pt>
                <c:pt idx="6">
                  <c:v>M7 · Jan</c:v>
                </c:pt>
                <c:pt idx="7">
                  <c:v>M8 · Feb</c:v>
                </c:pt>
                <c:pt idx="8">
                  <c:v>M9 · Mar</c:v>
                </c:pt>
                <c:pt idx="9">
                  <c:v>M10 · Apr</c:v>
                </c:pt>
                <c:pt idx="10">
                  <c:v>M11 · May</c:v>
                </c:pt>
                <c:pt idx="11">
                  <c:v>M12 · Jun</c:v>
                </c:pt>
              </c:strCache>
            </c:strRef>
          </c:cat>
          <c:val>
            <c:numRef>
              <c:f>Model!$AE$293:$AP$293</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0-28F8-9D41-BC0B-7012B4600E9D}"/>
            </c:ext>
          </c:extLst>
        </c:ser>
        <c:ser>
          <c:idx val="1"/>
          <c:order val="1"/>
          <c:tx>
            <c:v>Total equity</c:v>
          </c:tx>
          <c:spPr>
            <a:ln w="24000">
              <a:solidFill>
                <a:srgbClr val="10B981"/>
              </a:solidFill>
              <a:prstDash val="solid"/>
            </a:ln>
          </c:spPr>
          <c:marker>
            <c:symbol val="none"/>
          </c:marker>
          <c:cat>
            <c:strRef>
              <c:f>Model!$C$49:$N$49</c:f>
              <c:strCache>
                <c:ptCount val="12"/>
                <c:pt idx="0">
                  <c:v>M1 · Jul</c:v>
                </c:pt>
                <c:pt idx="1">
                  <c:v>M2 · Aug</c:v>
                </c:pt>
                <c:pt idx="2">
                  <c:v>M3 · Sep</c:v>
                </c:pt>
                <c:pt idx="3">
                  <c:v>M4 · Oct</c:v>
                </c:pt>
                <c:pt idx="4">
                  <c:v>M5 · Nov</c:v>
                </c:pt>
                <c:pt idx="5">
                  <c:v>M6 · Dec</c:v>
                </c:pt>
                <c:pt idx="6">
                  <c:v>M7 · Jan</c:v>
                </c:pt>
                <c:pt idx="7">
                  <c:v>M8 · Feb</c:v>
                </c:pt>
                <c:pt idx="8">
                  <c:v>M9 · Mar</c:v>
                </c:pt>
                <c:pt idx="9">
                  <c:v>M10 · Apr</c:v>
                </c:pt>
                <c:pt idx="10">
                  <c:v>M11 · May</c:v>
                </c:pt>
                <c:pt idx="11">
                  <c:v>M12 · Jun</c:v>
                </c:pt>
              </c:strCache>
            </c:strRef>
          </c:cat>
          <c:val>
            <c:numRef>
              <c:f>Model!$AE$294:$AP$294</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1-28F8-9D41-BC0B-7012B4600E9D}"/>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General" sourceLinked="1"/>
        <c:majorTickMark val="none"/>
        <c:minorTickMark val="none"/>
        <c:tickLblPos val="nextTo"/>
        <c:spPr>
          <a:ln>
            <a:solidFill>
              <a:srgbClr val="3A3A3C"/>
            </a:solidFill>
            <a:prstDash val="solid"/>
          </a:ln>
        </c:spPr>
        <c:txPr>
          <a:bodyPr/>
          <a:lstStyle/>
          <a:p>
            <a:pPr>
              <a:defRPr>
                <a:solidFill>
                  <a:srgbClr val="8896B3"/>
                </a:solidFill>
              </a:defRPr>
            </a:pPr>
            <a:endParaRPr lang="en-US"/>
          </a:p>
        </c:txPr>
        <c:crossAx val="100"/>
        <c:crosses val="autoZero"/>
        <c:auto val="1"/>
        <c:lblAlgn val="ctr"/>
        <c:lblOffset val="100"/>
        <c:noMultiLvlLbl val="1"/>
      </c:catAx>
      <c:valAx>
        <c:axId val="100"/>
        <c:scaling>
          <c:orientation val="minMax"/>
        </c:scaling>
        <c:delete val="0"/>
        <c:axPos val="l"/>
        <c:majorGridlines>
          <c:spPr>
            <a:ln>
              <a:solidFill>
                <a:srgbClr val="26282B"/>
              </a:solidFill>
              <a:prstDash val="solid"/>
            </a:ln>
          </c:spPr>
        </c:majorGridlines>
        <c:numFmt formatCode="&quot;$&quot;#,##0" sourceLinked="0"/>
        <c:majorTickMark val="none"/>
        <c:minorTickMark val="none"/>
        <c:tickLblPos val="nextTo"/>
        <c:spPr>
          <a:ln>
            <a:solidFill>
              <a:srgbClr val="3A3A3C"/>
            </a:solidFill>
            <a:prstDash val="solid"/>
          </a:ln>
        </c:spPr>
        <c:txPr>
          <a:bodyPr/>
          <a:lstStyle/>
          <a:p>
            <a:pPr>
              <a:defRPr>
                <a:solidFill>
                  <a:srgbClr val="8896B3"/>
                </a:solidFill>
              </a:defRPr>
            </a:pPr>
            <a:endParaRPr lang="en-US"/>
          </a:p>
        </c:txPr>
        <c:crossAx val="10"/>
        <c:crosses val="autoZero"/>
        <c:crossBetween val="between"/>
      </c:valAx>
      <c:spPr>
        <a:solidFill>
          <a:srgbClr val="1C1C1E"/>
        </a:solidFill>
        <a:ln>
          <a:prstDash val="solid"/>
        </a:ln>
      </c:spPr>
    </c:plotArea>
    <c:legend>
      <c:legendPos val="b"/>
      <c:overlay val="0"/>
      <c:txPr>
        <a:bodyPr/>
        <a:lstStyle/>
        <a:p>
          <a:pPr>
            <a:defRPr>
              <a:solidFill>
                <a:srgbClr val="F2F2F2"/>
              </a:solidFill>
            </a:defRPr>
          </a:pPr>
          <a:endParaRPr lang="en-US"/>
        </a:p>
      </c:txPr>
    </c:legend>
    <c:plotVisOnly val="0"/>
    <c:dispBlanksAs val="gap"/>
    <c:showDLblsOverMax val="1"/>
  </c:chart>
  <c:spPr>
    <a:solidFill>
      <a:srgbClr val="1C1C1E"/>
    </a:solidFill>
    <a:ln>
      <a:prstDash val="solid"/>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1"/>
  <c:style val="2"/>
  <c:chart>
    <c:autoTitleDeleted val="1"/>
    <c:plotArea>
      <c:layout/>
      <c:lineChart>
        <c:grouping val="standard"/>
        <c:varyColors val="1"/>
        <c:ser>
          <c:idx val="0"/>
          <c:order val="0"/>
          <c:tx>
            <c:v>Closing cash</c:v>
          </c:tx>
          <c:spPr>
            <a:ln w="28000">
              <a:solidFill>
                <a:srgbClr val="1E50FF"/>
              </a:solidFill>
              <a:prstDash val="solid"/>
            </a:ln>
          </c:spPr>
          <c:marker>
            <c:symbol val="none"/>
          </c:marker>
          <c:cat>
            <c:strRef>
              <c:f>'Sample Model'!$C$49:$N$49</c:f>
              <c:strCache>
                <c:ptCount val="12"/>
                <c:pt idx="0">
                  <c:v>M1 · Jul</c:v>
                </c:pt>
                <c:pt idx="1">
                  <c:v>M2 · Aug</c:v>
                </c:pt>
                <c:pt idx="2">
                  <c:v>M3 · Sep</c:v>
                </c:pt>
                <c:pt idx="3">
                  <c:v>M4 · Oct</c:v>
                </c:pt>
                <c:pt idx="4">
                  <c:v>M5 · Nov</c:v>
                </c:pt>
                <c:pt idx="5">
                  <c:v>M6 · Dec</c:v>
                </c:pt>
                <c:pt idx="6">
                  <c:v>M7 · Jan</c:v>
                </c:pt>
                <c:pt idx="7">
                  <c:v>M8 · Feb</c:v>
                </c:pt>
                <c:pt idx="8">
                  <c:v>M9 · Mar</c:v>
                </c:pt>
                <c:pt idx="9">
                  <c:v>M10 · Apr</c:v>
                </c:pt>
                <c:pt idx="10">
                  <c:v>M11 · May</c:v>
                </c:pt>
                <c:pt idx="11">
                  <c:v>M12 · Jun</c:v>
                </c:pt>
              </c:strCache>
            </c:strRef>
          </c:cat>
          <c:val>
            <c:numRef>
              <c:f>'Sample Model'!$AE$291:$AP$291</c:f>
              <c:numCache>
                <c:formatCode>"$"#,##0</c:formatCode>
                <c:ptCount val="12"/>
                <c:pt idx="0">
                  <c:v>536927.20333333337</c:v>
                </c:pt>
                <c:pt idx="1">
                  <c:v>562452.68208333338</c:v>
                </c:pt>
                <c:pt idx="2">
                  <c:v>561600.43691666669</c:v>
                </c:pt>
                <c:pt idx="3">
                  <c:v>542623.54298958334</c:v>
                </c:pt>
                <c:pt idx="4">
                  <c:v>600135.2819895834</c:v>
                </c:pt>
                <c:pt idx="5">
                  <c:v>681308.73173958343</c:v>
                </c:pt>
                <c:pt idx="6">
                  <c:v>760757.32957291685</c:v>
                </c:pt>
                <c:pt idx="7">
                  <c:v>767714.94997916685</c:v>
                </c:pt>
                <c:pt idx="8">
                  <c:v>829477.68797916675</c:v>
                </c:pt>
                <c:pt idx="9">
                  <c:v>837326.24121875013</c:v>
                </c:pt>
                <c:pt idx="10">
                  <c:v>903050.06538541685</c:v>
                </c:pt>
                <c:pt idx="11">
                  <c:v>973248.86963541678</c:v>
                </c:pt>
              </c:numCache>
            </c:numRef>
          </c:val>
          <c:smooth val="0"/>
          <c:extLst>
            <c:ext xmlns:c16="http://schemas.microsoft.com/office/drawing/2014/chart" uri="{C3380CC4-5D6E-409C-BE32-E72D297353CC}">
              <c16:uniqueId val="{00000000-138C-6845-BEBB-D4952C51AB48}"/>
            </c:ext>
          </c:extLst>
        </c:ser>
        <c:ser>
          <c:idx val="1"/>
          <c:order val="1"/>
          <c:tx>
            <c:v>Revenue</c:v>
          </c:tx>
          <c:spPr>
            <a:ln w="22000">
              <a:solidFill>
                <a:srgbClr val="FFC857"/>
              </a:solidFill>
              <a:prstDash val="solid"/>
            </a:ln>
          </c:spPr>
          <c:marker>
            <c:symbol val="none"/>
          </c:marker>
          <c:cat>
            <c:strRef>
              <c:f>'Sample Model'!$C$49:$N$49</c:f>
              <c:strCache>
                <c:ptCount val="12"/>
                <c:pt idx="0">
                  <c:v>M1 · Jul</c:v>
                </c:pt>
                <c:pt idx="1">
                  <c:v>M2 · Aug</c:v>
                </c:pt>
                <c:pt idx="2">
                  <c:v>M3 · Sep</c:v>
                </c:pt>
                <c:pt idx="3">
                  <c:v>M4 · Oct</c:v>
                </c:pt>
                <c:pt idx="4">
                  <c:v>M5 · Nov</c:v>
                </c:pt>
                <c:pt idx="5">
                  <c:v>M6 · Dec</c:v>
                </c:pt>
                <c:pt idx="6">
                  <c:v>M7 · Jan</c:v>
                </c:pt>
                <c:pt idx="7">
                  <c:v>M8 · Feb</c:v>
                </c:pt>
                <c:pt idx="8">
                  <c:v>M9 · Mar</c:v>
                </c:pt>
                <c:pt idx="9">
                  <c:v>M10 · Apr</c:v>
                </c:pt>
                <c:pt idx="10">
                  <c:v>M11 · May</c:v>
                </c:pt>
                <c:pt idx="11">
                  <c:v>M12 · Jun</c:v>
                </c:pt>
              </c:strCache>
            </c:strRef>
          </c:cat>
          <c:val>
            <c:numRef>
              <c:f>'Sample Model'!$AE$292:$AP$292</c:f>
              <c:numCache>
                <c:formatCode>"$"#,##0</c:formatCode>
                <c:ptCount val="12"/>
                <c:pt idx="0">
                  <c:v>396000</c:v>
                </c:pt>
                <c:pt idx="1">
                  <c:v>412500</c:v>
                </c:pt>
                <c:pt idx="2">
                  <c:v>431200</c:v>
                </c:pt>
                <c:pt idx="3">
                  <c:v>448800.00000000006</c:v>
                </c:pt>
                <c:pt idx="4">
                  <c:v>465300.00000000006</c:v>
                </c:pt>
                <c:pt idx="5">
                  <c:v>459800.00000000006</c:v>
                </c:pt>
                <c:pt idx="6">
                  <c:v>453200</c:v>
                </c:pt>
                <c:pt idx="7">
                  <c:v>453200</c:v>
                </c:pt>
                <c:pt idx="8">
                  <c:v>470800.00000000006</c:v>
                </c:pt>
                <c:pt idx="9">
                  <c:v>487300.00000000006</c:v>
                </c:pt>
                <c:pt idx="10">
                  <c:v>499400.00000000006</c:v>
                </c:pt>
                <c:pt idx="11">
                  <c:v>500500.00000000006</c:v>
                </c:pt>
              </c:numCache>
            </c:numRef>
          </c:val>
          <c:smooth val="0"/>
          <c:extLst>
            <c:ext xmlns:c16="http://schemas.microsoft.com/office/drawing/2014/chart" uri="{C3380CC4-5D6E-409C-BE32-E72D297353CC}">
              <c16:uniqueId val="{00000001-138C-6845-BEBB-D4952C51AB48}"/>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General" sourceLinked="1"/>
        <c:majorTickMark val="none"/>
        <c:minorTickMark val="none"/>
        <c:tickLblPos val="nextTo"/>
        <c:spPr>
          <a:ln>
            <a:solidFill>
              <a:srgbClr val="3A3A3C"/>
            </a:solidFill>
            <a:prstDash val="solid"/>
          </a:ln>
        </c:spPr>
        <c:txPr>
          <a:bodyPr/>
          <a:lstStyle/>
          <a:p>
            <a:pPr>
              <a:defRPr>
                <a:solidFill>
                  <a:srgbClr val="8896B3"/>
                </a:solidFill>
              </a:defRPr>
            </a:pPr>
            <a:endParaRPr lang="en-US"/>
          </a:p>
        </c:txPr>
        <c:crossAx val="100"/>
        <c:crosses val="autoZero"/>
        <c:auto val="1"/>
        <c:lblAlgn val="ctr"/>
        <c:lblOffset val="100"/>
        <c:noMultiLvlLbl val="1"/>
      </c:catAx>
      <c:valAx>
        <c:axId val="100"/>
        <c:scaling>
          <c:orientation val="minMax"/>
        </c:scaling>
        <c:delete val="0"/>
        <c:axPos val="l"/>
        <c:majorGridlines>
          <c:spPr>
            <a:ln>
              <a:solidFill>
                <a:srgbClr val="26282B"/>
              </a:solidFill>
              <a:prstDash val="solid"/>
            </a:ln>
          </c:spPr>
        </c:majorGridlines>
        <c:numFmt formatCode="&quot;$&quot;#,##0" sourceLinked="0"/>
        <c:majorTickMark val="none"/>
        <c:minorTickMark val="none"/>
        <c:tickLblPos val="nextTo"/>
        <c:spPr>
          <a:ln>
            <a:solidFill>
              <a:srgbClr val="3A3A3C"/>
            </a:solidFill>
            <a:prstDash val="solid"/>
          </a:ln>
        </c:spPr>
        <c:txPr>
          <a:bodyPr/>
          <a:lstStyle/>
          <a:p>
            <a:pPr>
              <a:defRPr>
                <a:solidFill>
                  <a:srgbClr val="8896B3"/>
                </a:solidFill>
              </a:defRPr>
            </a:pPr>
            <a:endParaRPr lang="en-US"/>
          </a:p>
        </c:txPr>
        <c:crossAx val="10"/>
        <c:crosses val="autoZero"/>
        <c:crossBetween val="between"/>
      </c:valAx>
      <c:spPr>
        <a:solidFill>
          <a:srgbClr val="1C1C1E"/>
        </a:solidFill>
        <a:ln>
          <a:prstDash val="solid"/>
        </a:ln>
      </c:spPr>
    </c:plotArea>
    <c:legend>
      <c:legendPos val="b"/>
      <c:overlay val="0"/>
      <c:txPr>
        <a:bodyPr/>
        <a:lstStyle/>
        <a:p>
          <a:pPr>
            <a:defRPr>
              <a:solidFill>
                <a:srgbClr val="F2F2F2"/>
              </a:solidFill>
            </a:defRPr>
          </a:pPr>
          <a:endParaRPr lang="en-US"/>
        </a:p>
      </c:txPr>
    </c:legend>
    <c:plotVisOnly val="0"/>
    <c:dispBlanksAs val="gap"/>
    <c:showDLblsOverMax val="1"/>
  </c:chart>
  <c:spPr>
    <a:solidFill>
      <a:srgbClr val="1C1C1E"/>
    </a:solidFill>
    <a:ln>
      <a:prstDash val="solid"/>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1"/>
  <c:style val="2"/>
  <c:chart>
    <c:autoTitleDeleted val="1"/>
    <c:plotArea>
      <c:layout/>
      <c:barChart>
        <c:barDir val="col"/>
        <c:grouping val="clustered"/>
        <c:varyColors val="1"/>
        <c:ser>
          <c:idx val="0"/>
          <c:order val="0"/>
          <c:tx>
            <c:strRef>
              <c:f>'Sample Model'!$C$285</c:f>
              <c:strCache>
                <c:ptCount val="1"/>
                <c:pt idx="0">
                  <c:v>Base</c:v>
                </c:pt>
              </c:strCache>
            </c:strRef>
          </c:tx>
          <c:spPr>
            <a:solidFill>
              <a:srgbClr val="1E50FF"/>
            </a:solidFill>
            <a:ln>
              <a:noFill/>
              <a:prstDash val="solid"/>
            </a:ln>
          </c:spPr>
          <c:invertIfNegative val="1"/>
          <c:dLbls>
            <c:spPr>
              <a:noFill/>
              <a:ln>
                <a:noFill/>
              </a:ln>
              <a:effectLst/>
            </c:spPr>
            <c:txPr>
              <a:bodyPr/>
              <a:lstStyle/>
              <a:p>
                <a:pPr>
                  <a:defRPr sz="900" b="0">
                    <a:solidFill>
                      <a:srgbClr val="1A1D21"/>
                    </a:solidFill>
                    <a:latin typeface="Calibri"/>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'Sample Model'!$B$286:$B$288</c:f>
              <c:strCache>
                <c:ptCount val="3"/>
                <c:pt idx="0">
                  <c:v>EBITDA Y1</c:v>
                </c:pt>
                <c:pt idx="1">
                  <c:v>Closing cash Y1</c:v>
                </c:pt>
                <c:pt idx="2">
                  <c:v>Equity Y1</c:v>
                </c:pt>
              </c:strCache>
            </c:strRef>
          </c:cat>
          <c:val>
            <c:numRef>
              <c:f>'Sample Model'!$C$286:$C$288</c:f>
              <c:numCache>
                <c:formatCode>"$"#,##0.00,,"M";\("$"#,##0.00,,"M"\);\–</c:formatCode>
                <c:ptCount val="3"/>
                <c:pt idx="0">
                  <c:v>729120.00000000023</c:v>
                </c:pt>
                <c:pt idx="1">
                  <c:v>654430.48796875007</c:v>
                </c:pt>
                <c:pt idx="2">
                  <c:v>1180636.7581250002</c:v>
                </c:pt>
              </c:numCache>
            </c:numRef>
          </c:val>
          <c:extLst>
            <c:ext xmlns:c14="http://schemas.microsoft.com/office/drawing/2007/8/2/chart" uri="{6F2FDCE9-48DA-4B69-8628-5D25D57E5C99}">
              <c14:invertSolidFillFmt>
                <c14:spPr xmlns:c14="http://schemas.microsoft.com/office/drawing/2007/8/2/chart">
                  <a:solidFill>
                    <a:srgbClr val="FFFFFF"/>
                  </a:solidFill>
                  <a:ln>
                    <a:noFill/>
                    <a:prstDash val="solid"/>
                  </a:ln>
                </c14:spPr>
              </c14:invertSolidFillFmt>
            </c:ext>
            <c:ext xmlns:c16="http://schemas.microsoft.com/office/drawing/2014/chart" uri="{C3380CC4-5D6E-409C-BE32-E72D297353CC}">
              <c16:uniqueId val="{00000000-AEEB-0948-8E8E-BE09205D43B9}"/>
            </c:ext>
          </c:extLst>
        </c:ser>
        <c:ser>
          <c:idx val="1"/>
          <c:order val="1"/>
          <c:tx>
            <c:strRef>
              <c:f>'Sample Model'!$D$285</c:f>
              <c:strCache>
                <c:ptCount val="1"/>
                <c:pt idx="0">
                  <c:v>Downside</c:v>
                </c:pt>
              </c:strCache>
            </c:strRef>
          </c:tx>
          <c:spPr>
            <a:solidFill>
              <a:srgbClr val="E5484D"/>
            </a:solidFill>
            <a:ln>
              <a:noFill/>
              <a:prstDash val="solid"/>
            </a:ln>
          </c:spPr>
          <c:invertIfNegative val="1"/>
          <c:dLbls>
            <c:spPr>
              <a:noFill/>
              <a:ln>
                <a:noFill/>
              </a:ln>
              <a:effectLst/>
            </c:spPr>
            <c:txPr>
              <a:bodyPr/>
              <a:lstStyle/>
              <a:p>
                <a:pPr>
                  <a:defRPr sz="900" b="0">
                    <a:solidFill>
                      <a:srgbClr val="1A1D21"/>
                    </a:solidFill>
                    <a:latin typeface="Calibri"/>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'Sample Model'!$B$286:$B$288</c:f>
              <c:strCache>
                <c:ptCount val="3"/>
                <c:pt idx="0">
                  <c:v>EBITDA Y1</c:v>
                </c:pt>
                <c:pt idx="1">
                  <c:v>Closing cash Y1</c:v>
                </c:pt>
                <c:pt idx="2">
                  <c:v>Equity Y1</c:v>
                </c:pt>
              </c:strCache>
            </c:strRef>
          </c:cat>
          <c:val>
            <c:numRef>
              <c:f>'Sample Model'!$D$286:$D$288</c:f>
              <c:numCache>
                <c:formatCode>"$"#,##0.00,,"M";\("$"#,##0.00,,"M"\);\–</c:formatCode>
                <c:ptCount val="3"/>
                <c:pt idx="0">
                  <c:v>109127.1</c:v>
                </c:pt>
                <c:pt idx="1">
                  <c:v>122416.42489583341</c:v>
                </c:pt>
                <c:pt idx="2">
                  <c:v>703567.39624999987</c:v>
                </c:pt>
              </c:numCache>
            </c:numRef>
          </c:val>
          <c:extLst>
            <c:ext xmlns:c14="http://schemas.microsoft.com/office/drawing/2007/8/2/chart" uri="{6F2FDCE9-48DA-4B69-8628-5D25D57E5C99}">
              <c14:invertSolidFillFmt>
                <c14:spPr xmlns:c14="http://schemas.microsoft.com/office/drawing/2007/8/2/chart">
                  <a:solidFill>
                    <a:srgbClr val="FFFFFF"/>
                  </a:solidFill>
                  <a:ln>
                    <a:noFill/>
                    <a:prstDash val="solid"/>
                  </a:ln>
                </c14:spPr>
              </c14:invertSolidFillFmt>
            </c:ext>
            <c:ext xmlns:c16="http://schemas.microsoft.com/office/drawing/2014/chart" uri="{C3380CC4-5D6E-409C-BE32-E72D297353CC}">
              <c16:uniqueId val="{00000001-AEEB-0948-8E8E-BE09205D43B9}"/>
            </c:ext>
          </c:extLst>
        </c:ser>
        <c:ser>
          <c:idx val="2"/>
          <c:order val="2"/>
          <c:tx>
            <c:strRef>
              <c:f>'Sample Model'!$E$285</c:f>
              <c:strCache>
                <c:ptCount val="1"/>
                <c:pt idx="0">
                  <c:v>Upside</c:v>
                </c:pt>
              </c:strCache>
            </c:strRef>
          </c:tx>
          <c:spPr>
            <a:solidFill>
              <a:srgbClr val="10B981"/>
            </a:solidFill>
            <a:ln>
              <a:noFill/>
              <a:prstDash val="solid"/>
            </a:ln>
          </c:spPr>
          <c:invertIfNegative val="1"/>
          <c:dLbls>
            <c:spPr>
              <a:noFill/>
              <a:ln>
                <a:noFill/>
              </a:ln>
              <a:effectLst/>
            </c:spPr>
            <c:txPr>
              <a:bodyPr/>
              <a:lstStyle/>
              <a:p>
                <a:pPr>
                  <a:defRPr sz="900" b="0">
                    <a:solidFill>
                      <a:srgbClr val="1A1D21"/>
                    </a:solidFill>
                    <a:latin typeface="Calibri"/>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'Sample Model'!$B$286:$B$288</c:f>
              <c:strCache>
                <c:ptCount val="3"/>
                <c:pt idx="0">
                  <c:v>EBITDA Y1</c:v>
                </c:pt>
                <c:pt idx="1">
                  <c:v>Closing cash Y1</c:v>
                </c:pt>
                <c:pt idx="2">
                  <c:v>Equity Y1</c:v>
                </c:pt>
              </c:strCache>
            </c:strRef>
          </c:cat>
          <c:val>
            <c:numRef>
              <c:f>'Sample Model'!$E$286:$E$288</c:f>
              <c:numCache>
                <c:formatCode>"$"#,##0.00,,"M";\("$"#,##0.00,,"M"\);\–</c:formatCode>
                <c:ptCount val="3"/>
                <c:pt idx="0">
                  <c:v>1100861.3600000003</c:v>
                </c:pt>
                <c:pt idx="1">
                  <c:v>973248.86963541678</c:v>
                </c:pt>
                <c:pt idx="2">
                  <c:v>1459442.7781250002</c:v>
                </c:pt>
              </c:numCache>
            </c:numRef>
          </c:val>
          <c:extLst>
            <c:ext xmlns:c14="http://schemas.microsoft.com/office/drawing/2007/8/2/chart" uri="{6F2FDCE9-48DA-4B69-8628-5D25D57E5C99}">
              <c14:invertSolidFillFmt>
                <c14:spPr xmlns:c14="http://schemas.microsoft.com/office/drawing/2007/8/2/chart">
                  <a:solidFill>
                    <a:srgbClr val="FFFFFF"/>
                  </a:solidFill>
                  <a:ln>
                    <a:noFill/>
                    <a:prstDash val="solid"/>
                  </a:ln>
                </c14:spPr>
              </c14:invertSolidFillFmt>
            </c:ext>
            <c:ext xmlns:c16="http://schemas.microsoft.com/office/drawing/2014/chart" uri="{C3380CC4-5D6E-409C-BE32-E72D297353CC}">
              <c16:uniqueId val="{00000002-AEEB-0948-8E8E-BE09205D43B9}"/>
            </c:ext>
          </c:extLst>
        </c:ser>
        <c:dLbls>
          <c:dLblPos val="outEnd"/>
          <c:showLegendKey val="0"/>
          <c:showVal val="1"/>
          <c:showCatName val="0"/>
          <c:showSerName val="0"/>
          <c:showPercent val="0"/>
          <c:showBubbleSize val="0"/>
        </c:dLbls>
        <c:gapWidth val="60"/>
        <c:axId val="10"/>
        <c:axId val="100"/>
      </c:barChart>
      <c:catAx>
        <c:axId val="10"/>
        <c:scaling>
          <c:orientation val="minMax"/>
        </c:scaling>
        <c:delete val="0"/>
        <c:axPos val="b"/>
        <c:numFmt formatCode="General" sourceLinked="1"/>
        <c:majorTickMark val="none"/>
        <c:minorTickMark val="none"/>
        <c:tickLblPos val="nextTo"/>
        <c:spPr>
          <a:ln>
            <a:solidFill>
              <a:srgbClr val="3A3A3C"/>
            </a:solidFill>
            <a:prstDash val="solid"/>
          </a:ln>
        </c:spPr>
        <c:txPr>
          <a:bodyPr/>
          <a:lstStyle/>
          <a:p>
            <a:pPr>
              <a:defRPr>
                <a:solidFill>
                  <a:srgbClr val="8896B3"/>
                </a:solidFill>
              </a:defRPr>
            </a:pPr>
            <a:endParaRPr lang="en-US"/>
          </a:p>
        </c:txPr>
        <c:crossAx val="100"/>
        <c:crosses val="autoZero"/>
        <c:auto val="1"/>
        <c:lblAlgn val="ctr"/>
        <c:lblOffset val="100"/>
        <c:noMultiLvlLbl val="1"/>
      </c:catAx>
      <c:valAx>
        <c:axId val="100"/>
        <c:scaling>
          <c:orientation val="minMax"/>
        </c:scaling>
        <c:delete val="0"/>
        <c:axPos val="l"/>
        <c:majorGridlines>
          <c:spPr>
            <a:ln>
              <a:solidFill>
                <a:srgbClr val="26282B"/>
              </a:solidFill>
              <a:prstDash val="solid"/>
            </a:ln>
          </c:spPr>
        </c:majorGridlines>
        <c:numFmt formatCode="&quot;$&quot;#,##0" sourceLinked="0"/>
        <c:majorTickMark val="none"/>
        <c:minorTickMark val="none"/>
        <c:tickLblPos val="nextTo"/>
        <c:spPr>
          <a:ln>
            <a:solidFill>
              <a:srgbClr val="3A3A3C"/>
            </a:solidFill>
            <a:prstDash val="solid"/>
          </a:ln>
        </c:spPr>
        <c:txPr>
          <a:bodyPr/>
          <a:lstStyle/>
          <a:p>
            <a:pPr>
              <a:defRPr>
                <a:solidFill>
                  <a:srgbClr val="8896B3"/>
                </a:solidFill>
              </a:defRPr>
            </a:pPr>
            <a:endParaRPr lang="en-US"/>
          </a:p>
        </c:txPr>
        <c:crossAx val="10"/>
        <c:crosses val="autoZero"/>
        <c:crossBetween val="between"/>
      </c:valAx>
      <c:spPr>
        <a:solidFill>
          <a:srgbClr val="1C1C1E"/>
        </a:solidFill>
        <a:ln>
          <a:prstDash val="solid"/>
        </a:ln>
      </c:spPr>
    </c:plotArea>
    <c:legend>
      <c:legendPos val="b"/>
      <c:overlay val="0"/>
      <c:txPr>
        <a:bodyPr/>
        <a:lstStyle/>
        <a:p>
          <a:pPr>
            <a:defRPr>
              <a:solidFill>
                <a:srgbClr val="F2F2F2"/>
              </a:solidFill>
            </a:defRPr>
          </a:pPr>
          <a:endParaRPr lang="en-US"/>
        </a:p>
      </c:txPr>
    </c:legend>
    <c:plotVisOnly val="0"/>
    <c:dispBlanksAs val="gap"/>
    <c:showDLblsOverMax val="1"/>
  </c:chart>
  <c:spPr>
    <a:solidFill>
      <a:srgbClr val="1C1C1E"/>
    </a:solidFill>
    <a:ln>
      <a:prstDash val="solid"/>
    </a:ln>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1"/>
  <c:style val="2"/>
  <c:chart>
    <c:autoTitleDeleted val="1"/>
    <c:plotArea>
      <c:layout/>
      <c:lineChart>
        <c:grouping val="standard"/>
        <c:varyColors val="1"/>
        <c:ser>
          <c:idx val="0"/>
          <c:order val="0"/>
          <c:tx>
            <c:v>Interest-bearing debt</c:v>
          </c:tx>
          <c:spPr>
            <a:ln w="24000">
              <a:solidFill>
                <a:srgbClr val="E5484D"/>
              </a:solidFill>
              <a:prstDash val="solid"/>
            </a:ln>
          </c:spPr>
          <c:marker>
            <c:symbol val="none"/>
          </c:marker>
          <c:cat>
            <c:strRef>
              <c:f>'Sample Model'!$C$49:$N$49</c:f>
              <c:strCache>
                <c:ptCount val="12"/>
                <c:pt idx="0">
                  <c:v>M1 · Jul</c:v>
                </c:pt>
                <c:pt idx="1">
                  <c:v>M2 · Aug</c:v>
                </c:pt>
                <c:pt idx="2">
                  <c:v>M3 · Sep</c:v>
                </c:pt>
                <c:pt idx="3">
                  <c:v>M4 · Oct</c:v>
                </c:pt>
                <c:pt idx="4">
                  <c:v>M5 · Nov</c:v>
                </c:pt>
                <c:pt idx="5">
                  <c:v>M6 · Dec</c:v>
                </c:pt>
                <c:pt idx="6">
                  <c:v>M7 · Jan</c:v>
                </c:pt>
                <c:pt idx="7">
                  <c:v>M8 · Feb</c:v>
                </c:pt>
                <c:pt idx="8">
                  <c:v>M9 · Mar</c:v>
                </c:pt>
                <c:pt idx="9">
                  <c:v>M10 · Apr</c:v>
                </c:pt>
                <c:pt idx="10">
                  <c:v>M11 · May</c:v>
                </c:pt>
                <c:pt idx="11">
                  <c:v>M12 · Jun</c:v>
                </c:pt>
              </c:strCache>
            </c:strRef>
          </c:cat>
          <c:val>
            <c:numRef>
              <c:f>'Sample Model'!$AE$293:$AP$293</c:f>
              <c:numCache>
                <c:formatCode>"$"#,##0</c:formatCode>
                <c:ptCount val="12"/>
                <c:pt idx="0">
                  <c:v>291667</c:v>
                </c:pt>
                <c:pt idx="1">
                  <c:v>283334</c:v>
                </c:pt>
                <c:pt idx="2">
                  <c:v>275001</c:v>
                </c:pt>
                <c:pt idx="3">
                  <c:v>266668</c:v>
                </c:pt>
                <c:pt idx="4">
                  <c:v>258335</c:v>
                </c:pt>
                <c:pt idx="5">
                  <c:v>250002</c:v>
                </c:pt>
                <c:pt idx="6">
                  <c:v>241669</c:v>
                </c:pt>
                <c:pt idx="7">
                  <c:v>233336</c:v>
                </c:pt>
                <c:pt idx="8">
                  <c:v>225003</c:v>
                </c:pt>
                <c:pt idx="9">
                  <c:v>216670</c:v>
                </c:pt>
                <c:pt idx="10">
                  <c:v>208337</c:v>
                </c:pt>
                <c:pt idx="11">
                  <c:v>200004</c:v>
                </c:pt>
              </c:numCache>
            </c:numRef>
          </c:val>
          <c:smooth val="0"/>
          <c:extLst>
            <c:ext xmlns:c16="http://schemas.microsoft.com/office/drawing/2014/chart" uri="{C3380CC4-5D6E-409C-BE32-E72D297353CC}">
              <c16:uniqueId val="{00000000-9359-C041-BFB0-36D2BCAB07F4}"/>
            </c:ext>
          </c:extLst>
        </c:ser>
        <c:ser>
          <c:idx val="1"/>
          <c:order val="1"/>
          <c:tx>
            <c:v>Total equity</c:v>
          </c:tx>
          <c:spPr>
            <a:ln w="24000">
              <a:solidFill>
                <a:srgbClr val="10B981"/>
              </a:solidFill>
              <a:prstDash val="solid"/>
            </a:ln>
          </c:spPr>
          <c:marker>
            <c:symbol val="none"/>
          </c:marker>
          <c:cat>
            <c:strRef>
              <c:f>'Sample Model'!$C$49:$N$49</c:f>
              <c:strCache>
                <c:ptCount val="12"/>
                <c:pt idx="0">
                  <c:v>M1 · Jul</c:v>
                </c:pt>
                <c:pt idx="1">
                  <c:v>M2 · Aug</c:v>
                </c:pt>
                <c:pt idx="2">
                  <c:v>M3 · Sep</c:v>
                </c:pt>
                <c:pt idx="3">
                  <c:v>M4 · Oct</c:v>
                </c:pt>
                <c:pt idx="4">
                  <c:v>M5 · Nov</c:v>
                </c:pt>
                <c:pt idx="5">
                  <c:v>M6 · Dec</c:v>
                </c:pt>
                <c:pt idx="6">
                  <c:v>M7 · Jan</c:v>
                </c:pt>
                <c:pt idx="7">
                  <c:v>M8 · Feb</c:v>
                </c:pt>
                <c:pt idx="8">
                  <c:v>M9 · Mar</c:v>
                </c:pt>
                <c:pt idx="9">
                  <c:v>M10 · Apr</c:v>
                </c:pt>
                <c:pt idx="10">
                  <c:v>M11 · May</c:v>
                </c:pt>
                <c:pt idx="11">
                  <c:v>M12 · Jun</c:v>
                </c:pt>
              </c:strCache>
            </c:strRef>
          </c:cat>
          <c:val>
            <c:numRef>
              <c:f>'Sample Model'!$AE$294:$AP$294</c:f>
              <c:numCache>
                <c:formatCode>"$"#,##0</c:formatCode>
                <c:ptCount val="12"/>
                <c:pt idx="0">
                  <c:v>831811.52500000002</c:v>
                </c:pt>
                <c:pt idx="1">
                  <c:v>868110.46906250005</c:v>
                </c:pt>
                <c:pt idx="2">
                  <c:v>912964.71218749997</c:v>
                </c:pt>
                <c:pt idx="3">
                  <c:v>965775.63437500002</c:v>
                </c:pt>
                <c:pt idx="4">
                  <c:v>1025976.9556250001</c:v>
                </c:pt>
                <c:pt idx="5">
                  <c:v>1084377.5159375002</c:v>
                </c:pt>
                <c:pt idx="6">
                  <c:v>1140411.0353125001</c:v>
                </c:pt>
                <c:pt idx="7">
                  <c:v>1196917.3287500001</c:v>
                </c:pt>
                <c:pt idx="8">
                  <c:v>1261380.30125</c:v>
                </c:pt>
                <c:pt idx="9">
                  <c:v>1333266.0128125001</c:v>
                </c:pt>
                <c:pt idx="10">
                  <c:v>1410834.8684375002</c:v>
                </c:pt>
                <c:pt idx="11">
                  <c:v>1459442.7781250002</c:v>
                </c:pt>
              </c:numCache>
            </c:numRef>
          </c:val>
          <c:smooth val="0"/>
          <c:extLst>
            <c:ext xmlns:c16="http://schemas.microsoft.com/office/drawing/2014/chart" uri="{C3380CC4-5D6E-409C-BE32-E72D297353CC}">
              <c16:uniqueId val="{00000001-9359-C041-BFB0-36D2BCAB07F4}"/>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General" sourceLinked="1"/>
        <c:majorTickMark val="none"/>
        <c:minorTickMark val="none"/>
        <c:tickLblPos val="nextTo"/>
        <c:spPr>
          <a:ln>
            <a:solidFill>
              <a:srgbClr val="3A3A3C"/>
            </a:solidFill>
            <a:prstDash val="solid"/>
          </a:ln>
        </c:spPr>
        <c:txPr>
          <a:bodyPr/>
          <a:lstStyle/>
          <a:p>
            <a:pPr>
              <a:defRPr>
                <a:solidFill>
                  <a:srgbClr val="8896B3"/>
                </a:solidFill>
              </a:defRPr>
            </a:pPr>
            <a:endParaRPr lang="en-US"/>
          </a:p>
        </c:txPr>
        <c:crossAx val="100"/>
        <c:crosses val="autoZero"/>
        <c:auto val="1"/>
        <c:lblAlgn val="ctr"/>
        <c:lblOffset val="100"/>
        <c:noMultiLvlLbl val="1"/>
      </c:catAx>
      <c:valAx>
        <c:axId val="100"/>
        <c:scaling>
          <c:orientation val="minMax"/>
        </c:scaling>
        <c:delete val="0"/>
        <c:axPos val="l"/>
        <c:majorGridlines>
          <c:spPr>
            <a:ln>
              <a:solidFill>
                <a:srgbClr val="26282B"/>
              </a:solidFill>
              <a:prstDash val="solid"/>
            </a:ln>
          </c:spPr>
        </c:majorGridlines>
        <c:numFmt formatCode="&quot;$&quot;#,##0" sourceLinked="0"/>
        <c:majorTickMark val="none"/>
        <c:minorTickMark val="none"/>
        <c:tickLblPos val="nextTo"/>
        <c:spPr>
          <a:ln>
            <a:solidFill>
              <a:srgbClr val="3A3A3C"/>
            </a:solidFill>
            <a:prstDash val="solid"/>
          </a:ln>
        </c:spPr>
        <c:txPr>
          <a:bodyPr/>
          <a:lstStyle/>
          <a:p>
            <a:pPr>
              <a:defRPr>
                <a:solidFill>
                  <a:srgbClr val="8896B3"/>
                </a:solidFill>
              </a:defRPr>
            </a:pPr>
            <a:endParaRPr lang="en-US"/>
          </a:p>
        </c:txPr>
        <c:crossAx val="10"/>
        <c:crosses val="autoZero"/>
        <c:crossBetween val="between"/>
      </c:valAx>
      <c:spPr>
        <a:solidFill>
          <a:srgbClr val="1C1C1E"/>
        </a:solidFill>
        <a:ln>
          <a:prstDash val="solid"/>
        </a:ln>
      </c:spPr>
    </c:plotArea>
    <c:legend>
      <c:legendPos val="b"/>
      <c:overlay val="0"/>
      <c:txPr>
        <a:bodyPr/>
        <a:lstStyle/>
        <a:p>
          <a:pPr>
            <a:defRPr>
              <a:solidFill>
                <a:srgbClr val="F2F2F2"/>
              </a:solidFill>
            </a:defRPr>
          </a:pPr>
          <a:endParaRPr lang="en-US"/>
        </a:p>
      </c:txPr>
    </c:legend>
    <c:plotVisOnly val="0"/>
    <c:dispBlanksAs val="gap"/>
    <c:showDLblsOverMax val="1"/>
  </c:chart>
  <c:spPr>
    <a:solidFill>
      <a:srgbClr val="1C1C1E"/>
    </a:solidFill>
    <a:ln>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infraxus.com" TargetMode="External"/></Relationships>
</file>

<file path=xl/drawings/_rels/drawing3.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1.png"/><Relationship Id="rId4" Type="http://schemas.openxmlformats.org/officeDocument/2006/relationships/hyperlink" Target="https://infraxus.com" TargetMode="External"/></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infraxus.com" TargetMode="External"/></Relationships>
</file>

<file path=xl/drawings/_rels/drawing5.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chart" Target="../charts/chart5.xml"/><Relationship Id="rId1" Type="http://schemas.openxmlformats.org/officeDocument/2006/relationships/chart" Target="../charts/chart4.xml"/><Relationship Id="rId5" Type="http://schemas.openxmlformats.org/officeDocument/2006/relationships/image" Target="../media/image1.png"/><Relationship Id="rId4" Type="http://schemas.openxmlformats.org/officeDocument/2006/relationships/hyperlink" Target="https://infraxus.com" TargetMode="External"/></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1571625" cy="390525"/>
    <xdr:pic>
      <xdr:nvPicPr>
        <xdr:cNvPr id="2" name="Image 1" descr="Picture">
          <a:hlinkClick xmlns:r="http://schemas.openxmlformats.org/officeDocument/2006/relationships" r:id=""/>
          <a:extLst>
            <a:ext uri="{FF2B5EF4-FFF2-40B4-BE49-F238E27FC236}">
              <a16:creationId xmlns:a16="http://schemas.microsoft.com/office/drawing/2014/main" id="{37F66E1B-FF0E-E143-84F5-450E0F08A123}"/>
            </a:ext>
          </a:extLst>
        </xdr:cNvPr>
        <xdr:cNvPicPr/>
      </xdr:nvPicPr>
      <xdr:blipFill>
        <a:blip xmlns:r="http://schemas.openxmlformats.org/officeDocument/2006/relationships" r:embed="rId1" cstate="print"/>
        <a:stretch>
          <a:fillRect/>
        </a:stretch>
      </xdr:blipFill>
      <xdr:spPr>
        <a:xfrm>
          <a:off x="152400" y="101600"/>
          <a:ext cx="1571625" cy="390525"/>
        </a:xfrm>
        <a:prstGeom prst="rect">
          <a:avLst/>
        </a:prstGeom>
        <a:ln>
          <a:prstDash val="solid"/>
        </a:ln>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xdr:row>
      <xdr:rowOff>0</xdr:rowOff>
    </xdr:from>
    <xdr:ext cx="1571625" cy="390525"/>
    <xdr:pic>
      <xdr:nvPicPr>
        <xdr:cNvPr id="2" name="Image 1" descr="Picture">
          <a:hlinkClick xmlns:r="http://schemas.openxmlformats.org/officeDocument/2006/relationships" r:id="rId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2" cstate="print"/>
        <a:stretch>
          <a:fillRect/>
        </a:stretch>
      </xdr:blipFill>
      <xdr:spPr>
        <a:prstGeom prst="rect">
          <a:avLst/>
        </a:prstGeom>
        <a:ln>
          <a:prstDash val="solid"/>
        </a:ln>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0</xdr:colOff>
      <xdr:row>16</xdr:row>
      <xdr:rowOff>0</xdr:rowOff>
    </xdr:from>
    <xdr:ext cx="7920000" cy="3960000"/>
    <xdr:graphicFrame macro="">
      <xdr:nvGraphicFramePr>
        <xdr:cNvPr id="2" name="Chart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9</xdr:col>
      <xdr:colOff>0</xdr:colOff>
      <xdr:row>16</xdr:row>
      <xdr:rowOff>0</xdr:rowOff>
    </xdr:from>
    <xdr:ext cx="7920000" cy="3960000"/>
    <xdr:graphicFrame macro="">
      <xdr:nvGraphicFramePr>
        <xdr:cNvPr id="3" name="Chart 2">
          <a:extLst>
            <a:ext uri="{FF2B5EF4-FFF2-40B4-BE49-F238E27FC236}">
              <a16:creationId xmlns:a16="http://schemas.microsoft.com/office/drawing/2014/main" id="{00000000-0008-0000-00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19</xdr:col>
      <xdr:colOff>0</xdr:colOff>
      <xdr:row>16</xdr:row>
      <xdr:rowOff>0</xdr:rowOff>
    </xdr:from>
    <xdr:ext cx="7920000" cy="3960000"/>
    <xdr:graphicFrame macro="">
      <xdr:nvGraphicFramePr>
        <xdr:cNvPr id="4" name="Chart 3">
          <a:extLst>
            <a:ext uri="{FF2B5EF4-FFF2-40B4-BE49-F238E27FC236}">
              <a16:creationId xmlns:a16="http://schemas.microsoft.com/office/drawing/2014/main" id="{00000000-0008-0000-00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oneCellAnchor>
  <xdr:oneCellAnchor>
    <xdr:from>
      <xdr:col>1</xdr:col>
      <xdr:colOff>0</xdr:colOff>
      <xdr:row>1</xdr:row>
      <xdr:rowOff>0</xdr:rowOff>
    </xdr:from>
    <xdr:ext cx="1571625" cy="390525"/>
    <xdr:pic>
      <xdr:nvPicPr>
        <xdr:cNvPr id="5" name="Image 4" descr="Picture">
          <a:hlinkClick xmlns:r="http://schemas.openxmlformats.org/officeDocument/2006/relationships" r:id="rId4"/>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5" cstate="print"/>
        <a:stretch>
          <a:fillRect/>
        </a:stretch>
      </xdr:blipFill>
      <xdr:spPr>
        <a:prstGeom prst="rect">
          <a:avLst/>
        </a:prstGeom>
        <a:ln>
          <a:prstDash val="solid"/>
        </a:ln>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0</xdr:colOff>
      <xdr:row>1</xdr:row>
      <xdr:rowOff>0</xdr:rowOff>
    </xdr:from>
    <xdr:ext cx="1571625" cy="390525"/>
    <xdr:pic>
      <xdr:nvPicPr>
        <xdr:cNvPr id="2" name="Image 1" descr="Picture">
          <a:hlinkClick xmlns:r="http://schemas.openxmlformats.org/officeDocument/2006/relationships" r:id="rId1"/>
          <a:extLst>
            <a:ext uri="{FF2B5EF4-FFF2-40B4-BE49-F238E27FC236}">
              <a16:creationId xmlns:a16="http://schemas.microsoft.com/office/drawing/2014/main" id="{E241E3C2-0A81-004E-A857-EED232CC63ED}"/>
            </a:ext>
          </a:extLst>
        </xdr:cNvPr>
        <xdr:cNvPicPr/>
      </xdr:nvPicPr>
      <xdr:blipFill>
        <a:blip xmlns:r="http://schemas.openxmlformats.org/officeDocument/2006/relationships" r:embed="rId2" cstate="print"/>
        <a:stretch>
          <a:fillRect/>
        </a:stretch>
      </xdr:blipFill>
      <xdr:spPr>
        <a:xfrm>
          <a:off x="114300" y="101600"/>
          <a:ext cx="1571625" cy="390525"/>
        </a:xfrm>
        <a:prstGeom prst="rect">
          <a:avLst/>
        </a:prstGeom>
        <a:ln>
          <a:prstDash val="solid"/>
        </a:ln>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0</xdr:colOff>
      <xdr:row>16</xdr:row>
      <xdr:rowOff>0</xdr:rowOff>
    </xdr:from>
    <xdr:ext cx="7920000" cy="3960000"/>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9</xdr:col>
      <xdr:colOff>0</xdr:colOff>
      <xdr:row>16</xdr:row>
      <xdr:rowOff>0</xdr:rowOff>
    </xdr:from>
    <xdr:ext cx="7920000" cy="3960000"/>
    <xdr:graphicFrame macro="">
      <xdr:nvGraphicFramePr>
        <xdr:cNvPr id="3" name="Chart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19</xdr:col>
      <xdr:colOff>0</xdr:colOff>
      <xdr:row>16</xdr:row>
      <xdr:rowOff>0</xdr:rowOff>
    </xdr:from>
    <xdr:ext cx="7920000" cy="3960000"/>
    <xdr:graphicFrame macro="">
      <xdr:nvGraphicFramePr>
        <xdr:cNvPr id="4" name="Chart 3">
          <a:extLst>
            <a:ext uri="{FF2B5EF4-FFF2-40B4-BE49-F238E27FC236}">
              <a16:creationId xmlns:a16="http://schemas.microsoft.com/office/drawing/2014/main" id="{00000000-0008-0000-02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oneCellAnchor>
  <xdr:oneCellAnchor>
    <xdr:from>
      <xdr:col>1</xdr:col>
      <xdr:colOff>0</xdr:colOff>
      <xdr:row>1</xdr:row>
      <xdr:rowOff>0</xdr:rowOff>
    </xdr:from>
    <xdr:ext cx="1571625" cy="390525"/>
    <xdr:pic>
      <xdr:nvPicPr>
        <xdr:cNvPr id="5" name="Image 4" descr="Picture">
          <a:hlinkClick xmlns:r="http://schemas.openxmlformats.org/officeDocument/2006/relationships" r:id="rId4"/>
          <a:extLst>
            <a:ext uri="{FF2B5EF4-FFF2-40B4-BE49-F238E27FC236}">
              <a16:creationId xmlns:a16="http://schemas.microsoft.com/office/drawing/2014/main" id="{00000000-0008-0000-0200-000005000000}"/>
            </a:ext>
          </a:extLst>
        </xdr:cNvPr>
        <xdr:cNvPicPr/>
      </xdr:nvPicPr>
      <xdr:blipFill>
        <a:blip xmlns:r="http://schemas.openxmlformats.org/officeDocument/2006/relationships" r:embed="rId5" cstate="print"/>
        <a:stretch>
          <a:fillRect/>
        </a:stretch>
      </xdr:blipFill>
      <xdr:spPr>
        <a:prstGeom prst="rect">
          <a:avLst/>
        </a:prstGeom>
        <a:ln>
          <a:prstDash val="solid"/>
        </a:ln>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17026CD2-FDF2-3F43-8772-48E94AA447F2}">
  <we:reference id="wa200009404" version="1.0.0.8" store="en-US" storeType="OMEX"/>
  <we:alternateReferences>
    <we:reference id="WA200009404" version="1.0.0.8" store="" storeType="OMEX"/>
  </we:alternateReferences>
  <we:properties>
    <we:property name="claude.fileId" value="&quot;908950c6-f3d2-4b85-aede-b40ca1fad538&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hyperlink" Target="https://infraxus.com/book" TargetMode="External"/><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5.xml"/><Relationship Id="rId1" Type="http://schemas.openxmlformats.org/officeDocument/2006/relationships/hyperlink" Target="https://infraxus.com/book" TargetMode="External"/><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6911F-A566-E948-8526-B857A83CBB75}">
  <sheetPr>
    <pageSetUpPr fitToPage="1"/>
  </sheetPr>
  <dimension ref="A1:K83"/>
  <sheetViews>
    <sheetView showGridLines="0" tabSelected="1" zoomScale="140" zoomScaleNormal="140" workbookViewId="0">
      <pane xSplit="1" ySplit="4" topLeftCell="B5" activePane="bottomRight" state="frozen"/>
      <selection pane="topRight"/>
      <selection pane="bottomLeft"/>
      <selection pane="bottomRight" activeCell="N7" sqref="N7"/>
    </sheetView>
  </sheetViews>
  <sheetFormatPr baseColWidth="10" defaultColWidth="8.83203125" defaultRowHeight="15" x14ac:dyDescent="0.2"/>
  <cols>
    <col min="1" max="1" width="2" style="5" customWidth="1"/>
    <col min="2" max="2" width="26" style="5" customWidth="1"/>
    <col min="3" max="10" width="16" style="5" customWidth="1"/>
    <col min="11" max="11" width="2" style="5" customWidth="1"/>
    <col min="12" max="16384" width="8.83203125" style="5"/>
  </cols>
  <sheetData>
    <row r="1" spans="1:11" ht="8" customHeight="1" x14ac:dyDescent="0.2">
      <c r="A1" s="6"/>
      <c r="B1" s="1"/>
      <c r="C1" s="1"/>
      <c r="D1" s="1"/>
      <c r="E1" s="1"/>
      <c r="F1" s="1"/>
      <c r="G1" s="1"/>
      <c r="H1" s="1"/>
      <c r="I1" s="1"/>
      <c r="J1" s="1"/>
      <c r="K1" s="1"/>
    </row>
    <row r="2" spans="1:11" ht="24" x14ac:dyDescent="0.2">
      <c r="A2" s="6"/>
      <c r="B2" s="1"/>
      <c r="C2" s="103" t="s">
        <v>427</v>
      </c>
      <c r="D2" s="104"/>
      <c r="E2" s="104"/>
      <c r="F2" s="104"/>
      <c r="G2" s="104"/>
      <c r="H2" s="104"/>
      <c r="I2" s="104"/>
      <c r="J2" s="104"/>
      <c r="K2" s="1"/>
    </row>
    <row r="3" spans="1:11" x14ac:dyDescent="0.2">
      <c r="A3" s="6"/>
      <c r="B3" s="105" t="s">
        <v>426</v>
      </c>
      <c r="C3" s="104"/>
      <c r="D3" s="104"/>
      <c r="E3" s="104"/>
      <c r="F3" s="104"/>
      <c r="G3" s="104"/>
      <c r="H3" s="104"/>
      <c r="I3" s="104"/>
      <c r="J3" s="104"/>
      <c r="K3" s="1"/>
    </row>
    <row r="4" spans="1:11" x14ac:dyDescent="0.2">
      <c r="A4" s="6"/>
      <c r="B4" s="6"/>
      <c r="C4" s="6"/>
      <c r="D4" s="6"/>
      <c r="E4" s="6"/>
      <c r="F4" s="6"/>
      <c r="G4" s="6"/>
      <c r="H4" s="6"/>
      <c r="I4" s="6"/>
      <c r="J4" s="6"/>
      <c r="K4" s="1"/>
    </row>
    <row r="5" spans="1:11" x14ac:dyDescent="0.2">
      <c r="A5" s="6"/>
      <c r="B5" s="6"/>
      <c r="C5" s="6"/>
      <c r="D5" s="6"/>
      <c r="E5" s="6"/>
      <c r="F5" s="6"/>
      <c r="G5" s="6"/>
      <c r="H5" s="6"/>
      <c r="I5" s="6"/>
      <c r="J5" s="6"/>
      <c r="K5" s="1"/>
    </row>
    <row r="6" spans="1:11" ht="21" x14ac:dyDescent="0.2">
      <c r="A6" s="6"/>
      <c r="B6" s="8" t="s">
        <v>425</v>
      </c>
      <c r="C6" s="106" t="s">
        <v>424</v>
      </c>
      <c r="D6" s="104"/>
      <c r="E6" s="104"/>
      <c r="F6" s="104"/>
      <c r="G6" s="104"/>
      <c r="H6" s="104"/>
      <c r="I6" s="104"/>
      <c r="J6" s="104"/>
      <c r="K6" s="1"/>
    </row>
    <row r="7" spans="1:11" ht="118" customHeight="1" x14ac:dyDescent="0.2">
      <c r="A7" s="6"/>
      <c r="B7" s="2"/>
      <c r="C7" s="102" t="s">
        <v>428</v>
      </c>
      <c r="D7" s="102"/>
      <c r="E7" s="102"/>
      <c r="F7" s="102"/>
      <c r="G7" s="102"/>
      <c r="H7" s="102"/>
      <c r="I7" s="102"/>
      <c r="J7" s="102"/>
      <c r="K7" s="1"/>
    </row>
    <row r="8" spans="1:11" x14ac:dyDescent="0.2">
      <c r="A8" s="6"/>
      <c r="B8" s="6"/>
      <c r="C8" s="6"/>
      <c r="D8" s="6"/>
      <c r="E8" s="6"/>
      <c r="F8" s="6"/>
      <c r="G8" s="6"/>
      <c r="H8" s="6"/>
      <c r="I8" s="6"/>
      <c r="J8" s="6"/>
      <c r="K8" s="1"/>
    </row>
    <row r="9" spans="1:11" ht="21" x14ac:dyDescent="0.2">
      <c r="A9" s="6"/>
      <c r="B9" s="8" t="s">
        <v>423</v>
      </c>
      <c r="C9" s="106" t="s">
        <v>429</v>
      </c>
      <c r="D9" s="104"/>
      <c r="E9" s="104"/>
      <c r="F9" s="104"/>
      <c r="G9" s="104"/>
      <c r="H9" s="104"/>
      <c r="I9" s="104"/>
      <c r="J9" s="104"/>
      <c r="K9" s="1"/>
    </row>
    <row r="10" spans="1:11" ht="130" customHeight="1" x14ac:dyDescent="0.2">
      <c r="A10" s="6"/>
      <c r="B10" s="2"/>
      <c r="C10" s="102" t="s">
        <v>430</v>
      </c>
      <c r="D10" s="102"/>
      <c r="E10" s="102"/>
      <c r="F10" s="102"/>
      <c r="G10" s="102"/>
      <c r="H10" s="102"/>
      <c r="I10" s="102"/>
      <c r="J10" s="102"/>
      <c r="K10" s="1"/>
    </row>
    <row r="11" spans="1:11" x14ac:dyDescent="0.2">
      <c r="A11" s="6"/>
      <c r="B11" s="6"/>
      <c r="C11" s="6"/>
      <c r="D11" s="6"/>
      <c r="E11" s="6"/>
      <c r="F11" s="6"/>
      <c r="G11" s="6"/>
      <c r="H11" s="6"/>
      <c r="I11" s="6"/>
      <c r="J11" s="6"/>
      <c r="K11" s="1"/>
    </row>
    <row r="12" spans="1:11" ht="21" x14ac:dyDescent="0.2">
      <c r="A12" s="6"/>
      <c r="B12" s="8" t="s">
        <v>421</v>
      </c>
      <c r="C12" s="106" t="s">
        <v>431</v>
      </c>
      <c r="D12" s="104"/>
      <c r="E12" s="104"/>
      <c r="F12" s="104"/>
      <c r="G12" s="104"/>
      <c r="H12" s="104"/>
      <c r="I12" s="104"/>
      <c r="J12" s="104"/>
      <c r="K12" s="1"/>
    </row>
    <row r="13" spans="1:11" ht="153" customHeight="1" x14ac:dyDescent="0.2">
      <c r="A13" s="6"/>
      <c r="B13" s="2"/>
      <c r="C13" s="102" t="s">
        <v>432</v>
      </c>
      <c r="D13" s="102"/>
      <c r="E13" s="102"/>
      <c r="F13" s="102"/>
      <c r="G13" s="102"/>
      <c r="H13" s="102"/>
      <c r="I13" s="102"/>
      <c r="J13" s="102"/>
      <c r="K13" s="1"/>
    </row>
    <row r="14" spans="1:11" x14ac:dyDescent="0.2">
      <c r="A14" s="6"/>
      <c r="B14" s="6"/>
      <c r="C14" s="6"/>
      <c r="D14" s="6"/>
      <c r="E14" s="6"/>
      <c r="F14" s="6"/>
      <c r="G14" s="6"/>
      <c r="H14" s="6"/>
      <c r="I14" s="6"/>
      <c r="J14" s="6"/>
      <c r="K14" s="1"/>
    </row>
    <row r="15" spans="1:11" ht="21" x14ac:dyDescent="0.2">
      <c r="A15" s="6"/>
      <c r="B15" s="8" t="s">
        <v>420</v>
      </c>
      <c r="C15" s="106" t="s">
        <v>433</v>
      </c>
      <c r="D15" s="104"/>
      <c r="E15" s="104"/>
      <c r="F15" s="104"/>
      <c r="G15" s="104"/>
      <c r="H15" s="104"/>
      <c r="I15" s="104"/>
      <c r="J15" s="104"/>
      <c r="K15" s="1"/>
    </row>
    <row r="16" spans="1:11" ht="149" customHeight="1" x14ac:dyDescent="0.2">
      <c r="A16" s="6"/>
      <c r="B16" s="2"/>
      <c r="C16" s="102" t="s">
        <v>434</v>
      </c>
      <c r="D16" s="102"/>
      <c r="E16" s="102"/>
      <c r="F16" s="102"/>
      <c r="G16" s="102"/>
      <c r="H16" s="102"/>
      <c r="I16" s="102"/>
      <c r="J16" s="102"/>
      <c r="K16" s="1"/>
    </row>
    <row r="17" spans="1:11" x14ac:dyDescent="0.2">
      <c r="A17" s="6"/>
      <c r="B17" s="6"/>
      <c r="C17" s="6"/>
      <c r="D17" s="6"/>
      <c r="E17" s="6"/>
      <c r="F17" s="6"/>
      <c r="G17" s="6"/>
      <c r="H17" s="6"/>
      <c r="I17" s="6"/>
      <c r="J17" s="6"/>
      <c r="K17" s="1"/>
    </row>
    <row r="18" spans="1:11" ht="21" x14ac:dyDescent="0.2">
      <c r="A18" s="6"/>
      <c r="B18" s="8" t="s">
        <v>418</v>
      </c>
      <c r="C18" s="106" t="s">
        <v>422</v>
      </c>
      <c r="D18" s="104"/>
      <c r="E18" s="104"/>
      <c r="F18" s="104"/>
      <c r="G18" s="104"/>
      <c r="H18" s="104"/>
      <c r="I18" s="104"/>
      <c r="J18" s="104"/>
      <c r="K18" s="1"/>
    </row>
    <row r="19" spans="1:11" ht="297" customHeight="1" x14ac:dyDescent="0.2">
      <c r="A19" s="6"/>
      <c r="B19" s="2"/>
      <c r="C19" s="102" t="s">
        <v>435</v>
      </c>
      <c r="D19" s="102"/>
      <c r="E19" s="102"/>
      <c r="F19" s="102"/>
      <c r="G19" s="102"/>
      <c r="H19" s="102"/>
      <c r="I19" s="102"/>
      <c r="J19" s="102"/>
      <c r="K19" s="1"/>
    </row>
    <row r="20" spans="1:11" x14ac:dyDescent="0.2">
      <c r="A20" s="6"/>
      <c r="B20" s="6"/>
      <c r="C20" s="6"/>
      <c r="D20" s="6"/>
      <c r="E20" s="6"/>
      <c r="F20" s="6"/>
      <c r="G20" s="6"/>
      <c r="H20" s="6"/>
      <c r="I20" s="6"/>
      <c r="J20" s="6"/>
      <c r="K20" s="1"/>
    </row>
    <row r="21" spans="1:11" ht="21" x14ac:dyDescent="0.25">
      <c r="A21" s="6"/>
      <c r="B21" s="9" t="s">
        <v>417</v>
      </c>
      <c r="C21" s="10" t="s">
        <v>419</v>
      </c>
      <c r="D21" s="1"/>
      <c r="E21" s="1"/>
      <c r="F21" s="1"/>
      <c r="G21" s="1"/>
      <c r="H21" s="1"/>
      <c r="I21" s="1"/>
      <c r="J21" s="1"/>
      <c r="K21" s="1"/>
    </row>
    <row r="22" spans="1:11" ht="198" customHeight="1" x14ac:dyDescent="0.2">
      <c r="A22" s="6"/>
      <c r="B22" s="2"/>
      <c r="C22" s="107" t="s">
        <v>436</v>
      </c>
      <c r="D22" s="107"/>
      <c r="E22" s="107"/>
      <c r="F22" s="107"/>
      <c r="G22" s="107"/>
      <c r="H22" s="107"/>
      <c r="I22" s="107"/>
      <c r="J22" s="107"/>
      <c r="K22" s="1"/>
    </row>
    <row r="23" spans="1:11" x14ac:dyDescent="0.2">
      <c r="A23" s="6"/>
      <c r="B23" s="6"/>
      <c r="C23" s="6"/>
      <c r="D23" s="6"/>
      <c r="E23" s="6"/>
      <c r="F23" s="6"/>
      <c r="G23" s="6"/>
      <c r="H23" s="6"/>
      <c r="I23" s="6"/>
      <c r="J23" s="6"/>
      <c r="K23" s="1"/>
    </row>
    <row r="24" spans="1:11" ht="21" x14ac:dyDescent="0.25">
      <c r="A24" s="6"/>
      <c r="B24" s="11" t="s">
        <v>437</v>
      </c>
      <c r="C24" s="12" t="s">
        <v>438</v>
      </c>
      <c r="D24" s="1"/>
      <c r="E24" s="1"/>
      <c r="F24" s="1"/>
      <c r="G24" s="1"/>
      <c r="H24" s="1"/>
      <c r="I24" s="1"/>
      <c r="J24" s="1"/>
      <c r="K24" s="1"/>
    </row>
    <row r="25" spans="1:11" ht="165" customHeight="1" x14ac:dyDescent="0.2">
      <c r="A25" s="6"/>
      <c r="B25" s="2"/>
      <c r="C25" s="108" t="s">
        <v>439</v>
      </c>
      <c r="D25" s="108"/>
      <c r="E25" s="108"/>
      <c r="F25" s="108"/>
      <c r="G25" s="108"/>
      <c r="H25" s="108"/>
      <c r="I25" s="108"/>
      <c r="J25" s="108"/>
      <c r="K25" s="1"/>
    </row>
    <row r="26" spans="1:11" x14ac:dyDescent="0.2">
      <c r="A26" s="6"/>
      <c r="B26" s="6"/>
      <c r="C26" s="6"/>
      <c r="D26" s="6"/>
      <c r="E26" s="6"/>
      <c r="F26" s="6"/>
      <c r="G26" s="6"/>
      <c r="H26" s="6"/>
      <c r="I26" s="6"/>
      <c r="J26" s="6"/>
      <c r="K26" s="1"/>
    </row>
    <row r="27" spans="1:11" ht="21" x14ac:dyDescent="0.25">
      <c r="A27" s="6"/>
      <c r="B27" s="11" t="s">
        <v>441</v>
      </c>
      <c r="C27" s="12" t="s">
        <v>416</v>
      </c>
      <c r="D27" s="7"/>
      <c r="E27" s="7"/>
      <c r="F27" s="7"/>
      <c r="G27" s="7"/>
      <c r="H27" s="7"/>
      <c r="I27" s="7"/>
      <c r="J27" s="7"/>
      <c r="K27" s="1"/>
    </row>
    <row r="28" spans="1:11" ht="167" customHeight="1" x14ac:dyDescent="0.2">
      <c r="A28" s="6"/>
      <c r="B28" s="7"/>
      <c r="C28" s="108" t="s">
        <v>440</v>
      </c>
      <c r="D28" s="108"/>
      <c r="E28" s="108"/>
      <c r="F28" s="108"/>
      <c r="G28" s="108"/>
      <c r="H28" s="108"/>
      <c r="I28" s="108"/>
      <c r="J28" s="108"/>
      <c r="K28" s="1"/>
    </row>
    <row r="29" spans="1:11" x14ac:dyDescent="0.2">
      <c r="A29" s="6"/>
      <c r="B29" s="6"/>
      <c r="C29" s="6"/>
      <c r="D29" s="6"/>
      <c r="E29" s="6"/>
      <c r="F29" s="6"/>
      <c r="G29" s="6"/>
      <c r="H29" s="6"/>
      <c r="I29" s="6"/>
      <c r="J29" s="6"/>
      <c r="K29" s="1"/>
    </row>
    <row r="30" spans="1:11" x14ac:dyDescent="0.2">
      <c r="A30" s="6"/>
      <c r="B30" s="4" t="s">
        <v>415</v>
      </c>
      <c r="C30" s="6"/>
      <c r="D30" s="6"/>
      <c r="E30" s="6"/>
      <c r="F30" s="6"/>
      <c r="G30" s="6"/>
      <c r="H30" s="6"/>
      <c r="I30" s="6"/>
      <c r="J30" s="3" t="s">
        <v>106</v>
      </c>
      <c r="K30" s="1"/>
    </row>
    <row r="31" spans="1:11" x14ac:dyDescent="0.2">
      <c r="A31" s="7"/>
      <c r="B31" s="1"/>
      <c r="C31" s="1"/>
      <c r="D31" s="1"/>
      <c r="E31" s="1"/>
      <c r="F31" s="1"/>
      <c r="G31" s="1"/>
      <c r="H31" s="1"/>
      <c r="I31" s="1"/>
      <c r="J31" s="1"/>
      <c r="K31" s="1"/>
    </row>
    <row r="32" spans="1:11" x14ac:dyDescent="0.2">
      <c r="A32" s="7"/>
      <c r="B32" s="7"/>
      <c r="C32" s="7"/>
      <c r="D32" s="7"/>
      <c r="E32" s="7"/>
      <c r="F32" s="7"/>
      <c r="G32" s="7"/>
      <c r="H32" s="7"/>
      <c r="I32" s="7"/>
      <c r="J32" s="7"/>
      <c r="K32" s="7"/>
    </row>
    <row r="33" spans="1:11" x14ac:dyDescent="0.2">
      <c r="A33" s="7"/>
      <c r="B33" s="7"/>
      <c r="C33" s="7"/>
      <c r="D33" s="7"/>
      <c r="E33" s="7"/>
      <c r="F33" s="7"/>
      <c r="G33" s="7"/>
      <c r="H33" s="7"/>
      <c r="I33" s="7"/>
      <c r="J33" s="7"/>
      <c r="K33" s="7"/>
    </row>
    <row r="34" spans="1:11" x14ac:dyDescent="0.2">
      <c r="A34" s="7"/>
      <c r="B34" s="7"/>
      <c r="C34" s="7"/>
      <c r="D34" s="7"/>
      <c r="E34" s="7"/>
      <c r="F34" s="7"/>
      <c r="G34" s="7"/>
      <c r="H34" s="7"/>
      <c r="I34" s="7"/>
      <c r="J34" s="7"/>
      <c r="K34" s="7"/>
    </row>
    <row r="35" spans="1:11" x14ac:dyDescent="0.2">
      <c r="A35" s="7"/>
      <c r="B35" s="7"/>
      <c r="C35" s="7"/>
      <c r="D35" s="7"/>
      <c r="E35" s="7"/>
      <c r="F35" s="7"/>
      <c r="G35" s="7"/>
      <c r="H35" s="7"/>
      <c r="I35" s="7"/>
      <c r="J35" s="7"/>
      <c r="K35" s="7"/>
    </row>
    <row r="36" spans="1:11" x14ac:dyDescent="0.2">
      <c r="A36" s="7"/>
      <c r="B36" s="7"/>
      <c r="C36" s="7"/>
      <c r="D36" s="7"/>
      <c r="E36" s="7"/>
      <c r="F36" s="7"/>
      <c r="G36" s="7"/>
      <c r="H36" s="7"/>
      <c r="I36" s="7"/>
      <c r="J36" s="7"/>
      <c r="K36" s="7"/>
    </row>
    <row r="37" spans="1:11" x14ac:dyDescent="0.2">
      <c r="A37" s="7"/>
      <c r="B37" s="7"/>
      <c r="C37" s="7"/>
      <c r="D37" s="7"/>
      <c r="E37" s="7"/>
      <c r="F37" s="7"/>
      <c r="G37" s="7"/>
      <c r="H37" s="7"/>
      <c r="I37" s="7"/>
      <c r="J37" s="7"/>
      <c r="K37" s="7"/>
    </row>
    <row r="38" spans="1:11" x14ac:dyDescent="0.2">
      <c r="A38" s="7"/>
      <c r="B38" s="7"/>
      <c r="C38" s="7"/>
      <c r="D38" s="7"/>
      <c r="E38" s="7"/>
      <c r="F38" s="7"/>
      <c r="G38" s="7"/>
      <c r="H38" s="7"/>
      <c r="I38" s="7"/>
      <c r="J38" s="7"/>
      <c r="K38" s="7"/>
    </row>
    <row r="39" spans="1:11" x14ac:dyDescent="0.2">
      <c r="A39" s="7"/>
      <c r="B39" s="7"/>
      <c r="C39" s="7"/>
      <c r="D39" s="7"/>
      <c r="E39" s="7"/>
      <c r="F39" s="7"/>
      <c r="G39" s="7"/>
      <c r="H39" s="7"/>
      <c r="I39" s="7"/>
      <c r="J39" s="7"/>
      <c r="K39" s="7"/>
    </row>
    <row r="40" spans="1:11" x14ac:dyDescent="0.2">
      <c r="A40" s="7"/>
      <c r="B40" s="7"/>
      <c r="C40" s="7"/>
      <c r="D40" s="7"/>
      <c r="E40" s="7"/>
      <c r="F40" s="7"/>
      <c r="G40" s="7"/>
      <c r="H40" s="7"/>
      <c r="I40" s="7"/>
      <c r="J40" s="7"/>
      <c r="K40" s="7"/>
    </row>
    <row r="41" spans="1:11" x14ac:dyDescent="0.2">
      <c r="A41" s="7"/>
      <c r="B41" s="7"/>
      <c r="C41" s="7"/>
      <c r="D41" s="7"/>
      <c r="E41" s="7"/>
      <c r="F41" s="7"/>
      <c r="G41" s="7"/>
      <c r="H41" s="7"/>
      <c r="I41" s="7"/>
      <c r="J41" s="7"/>
      <c r="K41" s="7"/>
    </row>
    <row r="42" spans="1:11" x14ac:dyDescent="0.2">
      <c r="A42" s="7"/>
      <c r="B42" s="7"/>
      <c r="C42" s="7"/>
      <c r="D42" s="7"/>
      <c r="E42" s="7"/>
      <c r="F42" s="7"/>
      <c r="G42" s="7"/>
      <c r="H42" s="7"/>
      <c r="I42" s="7"/>
      <c r="J42" s="7"/>
      <c r="K42" s="7"/>
    </row>
    <row r="43" spans="1:11" x14ac:dyDescent="0.2">
      <c r="A43" s="7"/>
      <c r="B43" s="7"/>
      <c r="C43" s="7"/>
      <c r="D43" s="7"/>
      <c r="E43" s="7"/>
      <c r="F43" s="7"/>
      <c r="G43" s="7"/>
      <c r="H43" s="7"/>
      <c r="I43" s="7"/>
      <c r="J43" s="7"/>
      <c r="K43" s="7"/>
    </row>
    <row r="44" spans="1:11" x14ac:dyDescent="0.2">
      <c r="A44" s="7"/>
      <c r="B44" s="7"/>
      <c r="C44" s="7"/>
      <c r="D44" s="7"/>
      <c r="E44" s="7"/>
      <c r="F44" s="7"/>
      <c r="G44" s="7"/>
      <c r="H44" s="7"/>
      <c r="I44" s="7"/>
      <c r="J44" s="7"/>
      <c r="K44" s="7"/>
    </row>
    <row r="45" spans="1:11" x14ac:dyDescent="0.2">
      <c r="A45" s="7"/>
      <c r="B45" s="7"/>
      <c r="C45" s="7"/>
      <c r="D45" s="7"/>
      <c r="E45" s="7"/>
      <c r="F45" s="7"/>
      <c r="G45" s="7"/>
      <c r="H45" s="7"/>
      <c r="I45" s="7"/>
      <c r="J45" s="7"/>
      <c r="K45" s="7"/>
    </row>
    <row r="46" spans="1:11" x14ac:dyDescent="0.2">
      <c r="A46" s="7"/>
      <c r="B46" s="7"/>
      <c r="C46" s="7"/>
      <c r="D46" s="7"/>
      <c r="E46" s="7"/>
      <c r="F46" s="7"/>
      <c r="G46" s="7"/>
      <c r="H46" s="7"/>
      <c r="I46" s="7"/>
      <c r="J46" s="7"/>
      <c r="K46" s="7"/>
    </row>
    <row r="47" spans="1:11" x14ac:dyDescent="0.2">
      <c r="A47" s="7"/>
      <c r="B47" s="7"/>
      <c r="C47" s="7"/>
      <c r="D47" s="7"/>
      <c r="E47" s="7"/>
      <c r="F47" s="7"/>
      <c r="G47" s="7"/>
      <c r="H47" s="7"/>
      <c r="I47" s="7"/>
      <c r="J47" s="7"/>
      <c r="K47" s="7"/>
    </row>
    <row r="48" spans="1:11" x14ac:dyDescent="0.2">
      <c r="A48" s="7"/>
      <c r="B48" s="7"/>
      <c r="C48" s="7"/>
      <c r="D48" s="7"/>
      <c r="E48" s="7"/>
      <c r="F48" s="7"/>
      <c r="G48" s="7"/>
      <c r="H48" s="7"/>
      <c r="I48" s="7"/>
      <c r="J48" s="7"/>
      <c r="K48" s="7"/>
    </row>
    <row r="49" spans="1:11" x14ac:dyDescent="0.2">
      <c r="A49" s="7"/>
      <c r="B49" s="7"/>
      <c r="C49" s="7"/>
      <c r="D49" s="7"/>
      <c r="E49" s="7"/>
      <c r="F49" s="7"/>
      <c r="G49" s="7"/>
      <c r="H49" s="7"/>
      <c r="I49" s="7"/>
      <c r="J49" s="7"/>
      <c r="K49" s="7"/>
    </row>
    <row r="50" spans="1:11" x14ac:dyDescent="0.2">
      <c r="A50" s="7"/>
      <c r="B50" s="7"/>
      <c r="C50" s="7"/>
      <c r="D50" s="7"/>
      <c r="E50" s="7"/>
      <c r="F50" s="7"/>
      <c r="G50" s="7"/>
      <c r="H50" s="7"/>
      <c r="I50" s="7"/>
      <c r="J50" s="7"/>
      <c r="K50" s="7"/>
    </row>
    <row r="51" spans="1:11" x14ac:dyDescent="0.2">
      <c r="A51" s="7"/>
      <c r="B51" s="7"/>
      <c r="C51" s="7"/>
      <c r="D51" s="7"/>
      <c r="E51" s="7"/>
      <c r="F51" s="7"/>
      <c r="G51" s="7"/>
      <c r="H51" s="7"/>
      <c r="I51" s="7"/>
      <c r="J51" s="7"/>
      <c r="K51" s="7"/>
    </row>
    <row r="52" spans="1:11" x14ac:dyDescent="0.2">
      <c r="A52" s="7"/>
      <c r="B52" s="7"/>
      <c r="C52" s="7"/>
      <c r="D52" s="7"/>
      <c r="E52" s="7"/>
      <c r="F52" s="7"/>
      <c r="G52" s="7"/>
      <c r="H52" s="7"/>
      <c r="I52" s="7"/>
      <c r="J52" s="7"/>
      <c r="K52" s="7"/>
    </row>
    <row r="53" spans="1:11" x14ac:dyDescent="0.2">
      <c r="A53" s="7"/>
      <c r="B53" s="7"/>
      <c r="C53" s="7"/>
      <c r="D53" s="7"/>
      <c r="E53" s="7"/>
      <c r="F53" s="7"/>
      <c r="G53" s="7"/>
      <c r="H53" s="7"/>
      <c r="I53" s="7"/>
      <c r="J53" s="7"/>
      <c r="K53" s="7"/>
    </row>
    <row r="54" spans="1:11" x14ac:dyDescent="0.2">
      <c r="A54" s="7"/>
      <c r="B54" s="7"/>
      <c r="C54" s="7"/>
      <c r="D54" s="7"/>
      <c r="E54" s="7"/>
      <c r="F54" s="7"/>
      <c r="G54" s="7"/>
      <c r="H54" s="7"/>
      <c r="I54" s="7"/>
      <c r="J54" s="7"/>
      <c r="K54" s="7"/>
    </row>
    <row r="55" spans="1:11" x14ac:dyDescent="0.2">
      <c r="A55" s="7"/>
      <c r="B55" s="7"/>
      <c r="C55" s="7"/>
      <c r="D55" s="7"/>
      <c r="E55" s="7"/>
      <c r="F55" s="7"/>
      <c r="G55" s="7"/>
      <c r="H55" s="7"/>
      <c r="I55" s="7"/>
      <c r="J55" s="7"/>
      <c r="K55" s="7"/>
    </row>
    <row r="56" spans="1:11" x14ac:dyDescent="0.2">
      <c r="A56" s="7"/>
      <c r="B56" s="7"/>
      <c r="C56" s="7"/>
      <c r="D56" s="7"/>
      <c r="E56" s="7"/>
      <c r="F56" s="7"/>
      <c r="G56" s="7"/>
      <c r="H56" s="7"/>
      <c r="I56" s="7"/>
      <c r="J56" s="7"/>
      <c r="K56" s="7"/>
    </row>
    <row r="57" spans="1:11" x14ac:dyDescent="0.2">
      <c r="A57" s="7"/>
      <c r="B57" s="7"/>
      <c r="C57" s="7"/>
      <c r="D57" s="7"/>
      <c r="E57" s="7"/>
      <c r="F57" s="7"/>
      <c r="G57" s="7"/>
      <c r="H57" s="7"/>
      <c r="I57" s="7"/>
      <c r="J57" s="7"/>
      <c r="K57" s="7"/>
    </row>
    <row r="58" spans="1:11" x14ac:dyDescent="0.2">
      <c r="A58" s="7"/>
      <c r="B58" s="7"/>
      <c r="C58" s="7"/>
      <c r="D58" s="7"/>
      <c r="E58" s="7"/>
      <c r="F58" s="7"/>
      <c r="G58" s="7"/>
      <c r="H58" s="7"/>
      <c r="I58" s="7"/>
      <c r="J58" s="7"/>
      <c r="K58" s="7"/>
    </row>
    <row r="59" spans="1:11" x14ac:dyDescent="0.2">
      <c r="A59" s="7"/>
      <c r="B59" s="7"/>
      <c r="C59" s="7"/>
      <c r="D59" s="7"/>
      <c r="E59" s="7"/>
      <c r="F59" s="7"/>
      <c r="G59" s="7"/>
      <c r="H59" s="7"/>
      <c r="I59" s="7"/>
      <c r="J59" s="7"/>
      <c r="K59" s="7"/>
    </row>
    <row r="60" spans="1:11" x14ac:dyDescent="0.2">
      <c r="A60" s="7"/>
      <c r="B60" s="7"/>
      <c r="C60" s="7"/>
      <c r="D60" s="7"/>
      <c r="E60" s="7"/>
      <c r="F60" s="7"/>
      <c r="G60" s="7"/>
      <c r="H60" s="7"/>
      <c r="I60" s="7"/>
      <c r="J60" s="7"/>
      <c r="K60" s="7"/>
    </row>
    <row r="61" spans="1:11" x14ac:dyDescent="0.2">
      <c r="A61" s="7"/>
      <c r="B61" s="7"/>
      <c r="C61" s="7"/>
      <c r="D61" s="7"/>
      <c r="E61" s="7"/>
      <c r="F61" s="7"/>
      <c r="G61" s="7"/>
      <c r="H61" s="7"/>
      <c r="I61" s="7"/>
      <c r="J61" s="7"/>
      <c r="K61" s="7"/>
    </row>
    <row r="62" spans="1:11" x14ac:dyDescent="0.2">
      <c r="A62" s="7"/>
      <c r="B62" s="7"/>
      <c r="C62" s="7"/>
      <c r="D62" s="7"/>
      <c r="E62" s="7"/>
      <c r="F62" s="7"/>
      <c r="G62" s="7"/>
      <c r="H62" s="7"/>
      <c r="I62" s="7"/>
      <c r="J62" s="7"/>
      <c r="K62" s="7"/>
    </row>
    <row r="63" spans="1:11" x14ac:dyDescent="0.2">
      <c r="A63" s="7"/>
      <c r="B63" s="7"/>
      <c r="C63" s="7"/>
      <c r="D63" s="7"/>
      <c r="E63" s="7"/>
      <c r="F63" s="7"/>
      <c r="G63" s="7"/>
      <c r="H63" s="7"/>
      <c r="I63" s="7"/>
      <c r="J63" s="7"/>
      <c r="K63" s="7"/>
    </row>
    <row r="64" spans="1:11" x14ac:dyDescent="0.2">
      <c r="A64" s="7"/>
      <c r="B64" s="7"/>
      <c r="C64" s="7"/>
      <c r="D64" s="7"/>
      <c r="E64" s="7"/>
      <c r="F64" s="7"/>
      <c r="G64" s="7"/>
      <c r="H64" s="7"/>
      <c r="I64" s="7"/>
      <c r="J64" s="7"/>
      <c r="K64" s="7"/>
    </row>
    <row r="65" spans="1:11" x14ac:dyDescent="0.2">
      <c r="A65" s="7"/>
      <c r="B65" s="7"/>
      <c r="C65" s="7"/>
      <c r="D65" s="7"/>
      <c r="E65" s="7"/>
      <c r="F65" s="7"/>
      <c r="G65" s="7"/>
      <c r="H65" s="7"/>
      <c r="I65" s="7"/>
      <c r="J65" s="7"/>
      <c r="K65" s="7"/>
    </row>
    <row r="66" spans="1:11" x14ac:dyDescent="0.2">
      <c r="A66" s="7"/>
      <c r="B66" s="7"/>
      <c r="C66" s="7"/>
      <c r="D66" s="7"/>
      <c r="E66" s="7"/>
      <c r="F66" s="7"/>
      <c r="G66" s="7"/>
      <c r="H66" s="7"/>
      <c r="I66" s="7"/>
      <c r="J66" s="7"/>
      <c r="K66" s="7"/>
    </row>
    <row r="67" spans="1:11" x14ac:dyDescent="0.2">
      <c r="A67" s="7"/>
      <c r="B67" s="7"/>
      <c r="C67" s="7"/>
      <c r="D67" s="7"/>
      <c r="E67" s="7"/>
      <c r="F67" s="7"/>
      <c r="G67" s="7"/>
      <c r="H67" s="7"/>
      <c r="I67" s="7"/>
      <c r="J67" s="7"/>
      <c r="K67" s="7"/>
    </row>
    <row r="68" spans="1:11" x14ac:dyDescent="0.2">
      <c r="A68" s="7"/>
      <c r="B68" s="7"/>
      <c r="C68" s="7"/>
      <c r="D68" s="7"/>
      <c r="E68" s="7"/>
      <c r="F68" s="7"/>
      <c r="G68" s="7"/>
      <c r="H68" s="7"/>
      <c r="I68" s="7"/>
      <c r="J68" s="7"/>
      <c r="K68" s="7"/>
    </row>
    <row r="69" spans="1:11" x14ac:dyDescent="0.2">
      <c r="A69" s="7"/>
      <c r="B69" s="7"/>
      <c r="C69" s="7"/>
      <c r="D69" s="7"/>
      <c r="E69" s="7"/>
      <c r="F69" s="7"/>
      <c r="G69" s="7"/>
      <c r="H69" s="7"/>
      <c r="I69" s="7"/>
      <c r="J69" s="7"/>
      <c r="K69" s="7"/>
    </row>
    <row r="70" spans="1:11" x14ac:dyDescent="0.2">
      <c r="A70" s="7"/>
      <c r="B70" s="7"/>
      <c r="C70" s="7"/>
      <c r="D70" s="7"/>
      <c r="E70" s="7"/>
      <c r="F70" s="7"/>
      <c r="G70" s="7"/>
      <c r="H70" s="7"/>
      <c r="I70" s="7"/>
      <c r="J70" s="7"/>
      <c r="K70" s="7"/>
    </row>
    <row r="71" spans="1:11" x14ac:dyDescent="0.2">
      <c r="A71" s="7"/>
      <c r="B71" s="7"/>
      <c r="C71" s="7"/>
      <c r="D71" s="7"/>
      <c r="E71" s="7"/>
      <c r="F71" s="7"/>
      <c r="G71" s="7"/>
      <c r="H71" s="7"/>
      <c r="I71" s="7"/>
      <c r="J71" s="7"/>
      <c r="K71" s="7"/>
    </row>
    <row r="72" spans="1:11" x14ac:dyDescent="0.2">
      <c r="A72" s="7"/>
      <c r="B72" s="7"/>
      <c r="C72" s="7"/>
      <c r="D72" s="7"/>
      <c r="E72" s="7"/>
      <c r="F72" s="7"/>
      <c r="G72" s="7"/>
      <c r="H72" s="7"/>
      <c r="I72" s="7"/>
      <c r="J72" s="7"/>
      <c r="K72" s="7"/>
    </row>
    <row r="73" spans="1:11" x14ac:dyDescent="0.2">
      <c r="A73" s="7"/>
      <c r="B73" s="7"/>
      <c r="C73" s="7"/>
      <c r="D73" s="7"/>
      <c r="E73" s="7"/>
      <c r="F73" s="7"/>
      <c r="G73" s="7"/>
      <c r="H73" s="7"/>
      <c r="I73" s="7"/>
      <c r="J73" s="7"/>
      <c r="K73" s="7"/>
    </row>
    <row r="74" spans="1:11" x14ac:dyDescent="0.2">
      <c r="A74" s="7"/>
      <c r="B74" s="7"/>
      <c r="C74" s="7"/>
      <c r="D74" s="7"/>
      <c r="E74" s="7"/>
      <c r="F74" s="7"/>
      <c r="G74" s="7"/>
      <c r="H74" s="7"/>
      <c r="I74" s="7"/>
      <c r="J74" s="7"/>
      <c r="K74" s="7"/>
    </row>
    <row r="75" spans="1:11" x14ac:dyDescent="0.2">
      <c r="A75" s="7"/>
      <c r="B75" s="7"/>
      <c r="C75" s="7"/>
      <c r="D75" s="7"/>
      <c r="E75" s="7"/>
      <c r="F75" s="7"/>
      <c r="G75" s="7"/>
      <c r="H75" s="7"/>
      <c r="I75" s="7"/>
      <c r="J75" s="7"/>
      <c r="K75" s="7"/>
    </row>
    <row r="76" spans="1:11" x14ac:dyDescent="0.2">
      <c r="A76" s="7"/>
      <c r="B76" s="7"/>
      <c r="C76" s="7"/>
      <c r="D76" s="7"/>
      <c r="E76" s="7"/>
      <c r="F76" s="7"/>
      <c r="G76" s="7"/>
      <c r="H76" s="7"/>
      <c r="I76" s="7"/>
      <c r="J76" s="7"/>
      <c r="K76" s="7"/>
    </row>
    <row r="77" spans="1:11" x14ac:dyDescent="0.2">
      <c r="A77" s="7"/>
      <c r="B77" s="7"/>
      <c r="C77" s="7"/>
      <c r="D77" s="7"/>
      <c r="E77" s="7"/>
      <c r="F77" s="7"/>
      <c r="G77" s="7"/>
      <c r="H77" s="7"/>
      <c r="I77" s="7"/>
      <c r="J77" s="7"/>
      <c r="K77" s="7"/>
    </row>
    <row r="78" spans="1:11" x14ac:dyDescent="0.2">
      <c r="A78" s="7"/>
      <c r="B78" s="7"/>
      <c r="C78" s="7"/>
      <c r="D78" s="7"/>
      <c r="E78" s="7"/>
      <c r="F78" s="7"/>
      <c r="G78" s="7"/>
      <c r="H78" s="7"/>
      <c r="I78" s="7"/>
      <c r="J78" s="7"/>
      <c r="K78" s="7"/>
    </row>
    <row r="79" spans="1:11" x14ac:dyDescent="0.2">
      <c r="A79" s="7"/>
      <c r="B79" s="7"/>
      <c r="C79" s="7"/>
      <c r="D79" s="7"/>
      <c r="E79" s="7"/>
      <c r="F79" s="7"/>
      <c r="G79" s="7"/>
      <c r="H79" s="7"/>
      <c r="I79" s="7"/>
      <c r="J79" s="7"/>
      <c r="K79" s="7"/>
    </row>
    <row r="80" spans="1:11" x14ac:dyDescent="0.2">
      <c r="A80" s="7"/>
      <c r="B80" s="7"/>
      <c r="C80" s="7"/>
      <c r="D80" s="7"/>
      <c r="E80" s="7"/>
      <c r="F80" s="7"/>
      <c r="G80" s="7"/>
      <c r="H80" s="7"/>
      <c r="I80" s="7"/>
      <c r="J80" s="7"/>
      <c r="K80" s="7"/>
    </row>
    <row r="81" spans="1:11" x14ac:dyDescent="0.2">
      <c r="A81" s="7"/>
      <c r="B81" s="7"/>
      <c r="C81" s="7"/>
      <c r="D81" s="7"/>
      <c r="E81" s="7"/>
      <c r="F81" s="7"/>
      <c r="G81" s="7"/>
      <c r="H81" s="7"/>
      <c r="I81" s="7"/>
      <c r="J81" s="7"/>
      <c r="K81" s="7"/>
    </row>
    <row r="82" spans="1:11" x14ac:dyDescent="0.2">
      <c r="A82" s="7"/>
      <c r="B82" s="7"/>
      <c r="C82" s="7"/>
      <c r="D82" s="7"/>
      <c r="E82" s="7"/>
      <c r="F82" s="7"/>
      <c r="G82" s="7"/>
      <c r="H82" s="7"/>
      <c r="I82" s="7"/>
      <c r="J82" s="7"/>
      <c r="K82" s="7"/>
    </row>
    <row r="83" spans="1:11" x14ac:dyDescent="0.2">
      <c r="A83" s="7"/>
      <c r="B83" s="7"/>
      <c r="C83" s="7"/>
      <c r="D83" s="7"/>
      <c r="E83" s="7"/>
      <c r="F83" s="7"/>
      <c r="G83" s="7"/>
      <c r="H83" s="7"/>
      <c r="I83" s="7"/>
      <c r="J83" s="7"/>
      <c r="K83" s="7"/>
    </row>
  </sheetData>
  <mergeCells count="15">
    <mergeCell ref="C22:J22"/>
    <mergeCell ref="C25:J25"/>
    <mergeCell ref="C28:J28"/>
    <mergeCell ref="C12:J12"/>
    <mergeCell ref="C13:J13"/>
    <mergeCell ref="C15:J15"/>
    <mergeCell ref="C16:J16"/>
    <mergeCell ref="C18:J18"/>
    <mergeCell ref="C19:J19"/>
    <mergeCell ref="C10:J10"/>
    <mergeCell ref="C2:J2"/>
    <mergeCell ref="B3:J3"/>
    <mergeCell ref="C6:J6"/>
    <mergeCell ref="C7:J7"/>
    <mergeCell ref="C9:J9"/>
  </mergeCells>
  <printOptions horizontalCentered="1"/>
  <pageMargins left="0.4" right="0.4" top="0.5" bottom="0.5" header="0.3" footer="0.3"/>
  <pageSetup fitToHeight="0" orientation="landscape"/>
  <headerFooter>
    <oddHeader>&amp;L&amp;9 &amp;K8896B3Infraxus · Hire Impact Calculator · Read Me</oddHeader>
    <oddFooter>&amp;R&amp;9 &amp;K8896B3Page &amp;P of &amp;N</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E50FF"/>
    <pageSetUpPr fitToPage="1"/>
  </sheetPr>
  <dimension ref="A1:AQ131"/>
  <sheetViews>
    <sheetView showGridLines="0" workbookViewId="0">
      <pane ySplit="6" topLeftCell="A7" activePane="bottomLeft" state="frozen"/>
      <selection pane="bottomLeft" activeCell="AE13" sqref="AE13"/>
    </sheetView>
  </sheetViews>
  <sheetFormatPr baseColWidth="10" defaultColWidth="8.83203125" defaultRowHeight="15" x14ac:dyDescent="0.2"/>
  <cols>
    <col min="1" max="1" width="1.5" style="5" customWidth="1"/>
    <col min="2" max="2" width="40" style="5" customWidth="1"/>
    <col min="3" max="3" width="14" style="5" customWidth="1"/>
    <col min="4" max="4" width="40.83203125" style="5" customWidth="1"/>
    <col min="5" max="28" width="10" style="5" customWidth="1"/>
    <col min="29" max="29" width="13" style="5" customWidth="1"/>
    <col min="30" max="30" width="2" style="5" customWidth="1"/>
    <col min="31" max="16384" width="8.83203125" style="5"/>
  </cols>
  <sheetData>
    <row r="1" spans="1:43" ht="8" customHeight="1" x14ac:dyDescent="0.2">
      <c r="A1" s="1"/>
      <c r="B1" s="1"/>
      <c r="C1" s="1"/>
      <c r="D1" s="1"/>
      <c r="E1" s="1"/>
      <c r="F1" s="1"/>
      <c r="G1" s="1"/>
      <c r="H1" s="1"/>
      <c r="I1" s="1"/>
      <c r="J1" s="1"/>
      <c r="K1" s="1"/>
      <c r="L1" s="1"/>
      <c r="M1" s="1"/>
      <c r="N1" s="1"/>
      <c r="O1" s="1"/>
      <c r="P1" s="1"/>
      <c r="Q1" s="1"/>
      <c r="R1" s="1"/>
      <c r="S1" s="1"/>
      <c r="T1" s="1"/>
      <c r="U1" s="1"/>
      <c r="V1" s="1"/>
      <c r="W1" s="1"/>
      <c r="X1" s="1"/>
      <c r="Y1" s="1"/>
      <c r="Z1" s="1"/>
      <c r="AA1" s="1"/>
      <c r="AB1" s="1"/>
      <c r="AC1" s="1"/>
      <c r="AD1" s="2"/>
      <c r="AE1" s="2"/>
      <c r="AF1" s="2"/>
      <c r="AG1" s="2"/>
      <c r="AH1" s="2"/>
      <c r="AI1" s="2"/>
      <c r="AJ1" s="2"/>
      <c r="AK1" s="2"/>
      <c r="AL1" s="2"/>
      <c r="AM1" s="2"/>
      <c r="AN1" s="2"/>
      <c r="AO1" s="2"/>
      <c r="AP1" s="2"/>
      <c r="AQ1" s="2"/>
    </row>
    <row r="2" spans="1:43" ht="22" customHeight="1" x14ac:dyDescent="0.2">
      <c r="A2" s="1"/>
      <c r="B2" s="1"/>
      <c r="C2" s="109" t="s">
        <v>208</v>
      </c>
      <c r="D2" s="104"/>
      <c r="E2" s="104"/>
      <c r="F2" s="104"/>
      <c r="G2" s="104"/>
      <c r="H2" s="104"/>
      <c r="I2" s="104"/>
      <c r="J2" s="104"/>
      <c r="K2" s="104"/>
      <c r="L2" s="104"/>
      <c r="M2" s="104"/>
      <c r="N2" s="104"/>
      <c r="O2" s="104"/>
      <c r="P2" s="104"/>
      <c r="Q2" s="104"/>
      <c r="R2" s="1"/>
      <c r="S2" s="1"/>
      <c r="T2" s="1"/>
      <c r="U2" s="1"/>
      <c r="V2" s="1"/>
      <c r="W2" s="1"/>
      <c r="X2" s="1"/>
      <c r="Y2" s="1"/>
      <c r="Z2" s="1"/>
      <c r="AA2" s="1"/>
      <c r="AB2" s="1"/>
      <c r="AC2" s="3"/>
      <c r="AD2" s="2"/>
      <c r="AE2" s="2"/>
      <c r="AF2" s="2"/>
      <c r="AG2" s="2"/>
      <c r="AH2" s="2"/>
      <c r="AI2" s="2"/>
      <c r="AJ2" s="2"/>
      <c r="AK2" s="2"/>
      <c r="AL2" s="2"/>
      <c r="AM2" s="2"/>
      <c r="AN2" s="2"/>
      <c r="AO2" s="2"/>
      <c r="AP2" s="2"/>
      <c r="AQ2" s="2"/>
    </row>
    <row r="3" spans="1:43" ht="22" customHeight="1" x14ac:dyDescent="0.2">
      <c r="A3" s="1"/>
      <c r="B3" s="110" t="s">
        <v>442</v>
      </c>
      <c r="C3" s="104"/>
      <c r="D3" s="104"/>
      <c r="E3" s="104"/>
      <c r="F3" s="104"/>
      <c r="G3" s="104"/>
      <c r="H3" s="104"/>
      <c r="I3" s="104"/>
      <c r="J3" s="104"/>
      <c r="K3" s="104"/>
      <c r="L3" s="104"/>
      <c r="M3" s="104"/>
      <c r="N3" s="104"/>
      <c r="O3" s="104"/>
      <c r="P3" s="104"/>
      <c r="Q3" s="104"/>
      <c r="R3" s="104"/>
      <c r="S3" s="1"/>
      <c r="T3" s="1"/>
      <c r="U3" s="1"/>
      <c r="V3" s="1"/>
      <c r="W3" s="1"/>
      <c r="X3" s="1"/>
      <c r="Y3" s="1"/>
      <c r="Z3" s="1"/>
      <c r="AA3" s="1"/>
      <c r="AB3" s="1"/>
      <c r="AC3" s="1"/>
      <c r="AD3" s="2"/>
      <c r="AE3" s="2"/>
      <c r="AF3" s="2"/>
      <c r="AG3" s="2"/>
      <c r="AH3" s="2"/>
      <c r="AI3" s="2"/>
      <c r="AJ3" s="2"/>
      <c r="AK3" s="2"/>
      <c r="AL3" s="2"/>
      <c r="AM3" s="2"/>
      <c r="AN3" s="2"/>
      <c r="AO3" s="2"/>
      <c r="AP3" s="2"/>
      <c r="AQ3" s="2"/>
    </row>
    <row r="4" spans="1:43" ht="22" customHeight="1" x14ac:dyDescent="0.2">
      <c r="A4" s="1"/>
      <c r="B4" s="110" t="s">
        <v>209</v>
      </c>
      <c r="C4" s="104"/>
      <c r="D4" s="104"/>
      <c r="E4" s="104"/>
      <c r="F4" s="104"/>
      <c r="G4" s="104"/>
      <c r="H4" s="104"/>
      <c r="I4" s="104"/>
      <c r="J4" s="104"/>
      <c r="K4" s="104"/>
      <c r="L4" s="104"/>
      <c r="M4" s="104"/>
      <c r="N4" s="104"/>
      <c r="O4" s="104"/>
      <c r="P4" s="104"/>
      <c r="Q4" s="104"/>
      <c r="R4" s="104"/>
      <c r="S4" s="1"/>
      <c r="T4" s="1"/>
      <c r="U4" s="1"/>
      <c r="V4" s="1"/>
      <c r="W4" s="1"/>
      <c r="X4" s="1"/>
      <c r="Y4" s="1"/>
      <c r="Z4" s="1"/>
      <c r="AA4" s="1"/>
      <c r="AB4" s="1"/>
      <c r="AC4" s="1"/>
      <c r="AD4" s="2"/>
      <c r="AE4" s="2"/>
      <c r="AF4" s="2"/>
      <c r="AG4" s="2"/>
      <c r="AH4" s="2"/>
      <c r="AI4" s="2"/>
      <c r="AJ4" s="2"/>
      <c r="AK4" s="2"/>
      <c r="AL4" s="2"/>
      <c r="AM4" s="2"/>
      <c r="AN4" s="2"/>
      <c r="AO4" s="2"/>
      <c r="AP4" s="2"/>
      <c r="AQ4" s="2"/>
    </row>
    <row r="5" spans="1:43" x14ac:dyDescent="0.2">
      <c r="A5" s="1"/>
      <c r="B5" s="1"/>
      <c r="C5" s="1"/>
      <c r="D5" s="1"/>
      <c r="E5" s="1"/>
      <c r="F5" s="1"/>
      <c r="G5" s="1"/>
      <c r="H5" s="1"/>
      <c r="I5" s="1"/>
      <c r="J5" s="1"/>
      <c r="K5" s="1"/>
      <c r="L5" s="1"/>
      <c r="M5" s="1"/>
      <c r="N5" s="1"/>
      <c r="O5" s="1"/>
      <c r="P5" s="1"/>
      <c r="Q5" s="1"/>
      <c r="R5" s="1"/>
      <c r="S5" s="1"/>
      <c r="T5" s="1"/>
      <c r="U5" s="1"/>
      <c r="V5" s="1"/>
      <c r="W5" s="1"/>
      <c r="X5" s="1"/>
      <c r="Y5" s="1"/>
      <c r="Z5" s="1"/>
      <c r="AA5" s="1"/>
      <c r="AB5" s="1"/>
      <c r="AC5" s="1"/>
      <c r="AD5" s="2"/>
      <c r="AE5" s="2"/>
      <c r="AF5" s="2"/>
      <c r="AG5" s="2"/>
      <c r="AH5" s="2"/>
      <c r="AI5" s="2"/>
      <c r="AJ5" s="2"/>
      <c r="AK5" s="2"/>
      <c r="AL5" s="2"/>
      <c r="AM5" s="2"/>
      <c r="AN5" s="2"/>
      <c r="AO5" s="2"/>
      <c r="AP5" s="2"/>
      <c r="AQ5" s="2"/>
    </row>
    <row r="6" spans="1:43" x14ac:dyDescent="0.2">
      <c r="A6" s="1"/>
      <c r="B6" s="13" t="s">
        <v>6</v>
      </c>
      <c r="C6" s="14">
        <v>123</v>
      </c>
      <c r="D6" s="15" t="s">
        <v>7</v>
      </c>
      <c r="E6" s="16">
        <v>123</v>
      </c>
      <c r="F6" s="15" t="s">
        <v>8</v>
      </c>
      <c r="G6" s="17">
        <v>123</v>
      </c>
      <c r="H6" s="15" t="s">
        <v>9</v>
      </c>
      <c r="I6" s="18">
        <v>123</v>
      </c>
      <c r="J6" s="15" t="s">
        <v>10</v>
      </c>
      <c r="K6" s="1"/>
      <c r="L6" s="1"/>
      <c r="M6" s="1"/>
      <c r="N6" s="1"/>
      <c r="O6" s="1"/>
      <c r="P6" s="1"/>
      <c r="Q6" s="1"/>
      <c r="R6" s="1"/>
      <c r="S6" s="1"/>
      <c r="T6" s="1"/>
      <c r="U6" s="1"/>
      <c r="V6" s="1"/>
      <c r="W6" s="1"/>
      <c r="X6" s="1"/>
      <c r="Y6" s="1"/>
      <c r="Z6" s="1"/>
      <c r="AA6" s="1"/>
      <c r="AB6" s="1"/>
      <c r="AC6" s="1"/>
      <c r="AD6" s="2"/>
      <c r="AE6" s="2"/>
      <c r="AF6" s="2"/>
      <c r="AG6" s="2"/>
      <c r="AH6" s="2"/>
      <c r="AI6" s="2"/>
      <c r="AJ6" s="2"/>
      <c r="AK6" s="2"/>
      <c r="AL6" s="2"/>
      <c r="AM6" s="2"/>
      <c r="AN6" s="2"/>
      <c r="AO6" s="2"/>
      <c r="AP6" s="2"/>
      <c r="AQ6" s="2"/>
    </row>
    <row r="7" spans="1:43" x14ac:dyDescent="0.2">
      <c r="A7" s="1"/>
      <c r="B7" s="1"/>
      <c r="C7" s="1"/>
      <c r="D7" s="1"/>
      <c r="E7" s="1"/>
      <c r="F7" s="1"/>
      <c r="G7" s="1"/>
      <c r="H7" s="1"/>
      <c r="I7" s="1"/>
      <c r="J7" s="1"/>
      <c r="K7" s="1"/>
      <c r="L7" s="1"/>
      <c r="M7" s="1"/>
      <c r="N7" s="1"/>
      <c r="O7" s="1"/>
      <c r="P7" s="1"/>
      <c r="Q7" s="1"/>
      <c r="R7" s="1"/>
      <c r="S7" s="1"/>
      <c r="T7" s="1"/>
      <c r="U7" s="1"/>
      <c r="V7" s="1"/>
      <c r="W7" s="1"/>
      <c r="X7" s="1"/>
      <c r="Y7" s="1"/>
      <c r="Z7" s="1"/>
      <c r="AA7" s="1"/>
      <c r="AB7" s="1"/>
      <c r="AC7" s="1"/>
      <c r="AD7" s="2"/>
      <c r="AE7" s="2"/>
      <c r="AF7" s="2"/>
      <c r="AG7" s="2"/>
      <c r="AH7" s="2"/>
      <c r="AI7" s="2"/>
      <c r="AJ7" s="2"/>
      <c r="AK7" s="2"/>
      <c r="AL7" s="2"/>
      <c r="AM7" s="2"/>
      <c r="AN7" s="2"/>
      <c r="AO7" s="2"/>
      <c r="AP7" s="2"/>
      <c r="AQ7" s="2"/>
    </row>
    <row r="8" spans="1:43" ht="22" customHeight="1" x14ac:dyDescent="0.2">
      <c r="A8" s="1"/>
      <c r="B8" s="19" t="s">
        <v>210</v>
      </c>
      <c r="C8" s="15" t="s">
        <v>211</v>
      </c>
      <c r="D8" s="6"/>
      <c r="E8" s="6"/>
      <c r="F8" s="6"/>
      <c r="G8" s="6"/>
      <c r="H8" s="94"/>
      <c r="I8" s="94"/>
      <c r="J8" s="94"/>
      <c r="K8" s="94"/>
      <c r="L8" s="94"/>
      <c r="M8" s="94"/>
      <c r="N8" s="94"/>
      <c r="O8" s="94"/>
      <c r="P8" s="94"/>
      <c r="Q8" s="94"/>
      <c r="R8" s="94"/>
      <c r="S8" s="94"/>
      <c r="T8" s="94"/>
      <c r="U8" s="94"/>
      <c r="V8" s="94"/>
      <c r="W8" s="94"/>
      <c r="X8" s="94"/>
      <c r="Y8" s="94"/>
      <c r="Z8" s="94"/>
      <c r="AA8" s="94"/>
      <c r="AB8" s="94"/>
      <c r="AC8" s="95"/>
      <c r="AD8" s="2"/>
      <c r="AE8" s="2"/>
      <c r="AF8" s="2"/>
      <c r="AG8" s="2"/>
      <c r="AH8" s="2"/>
      <c r="AI8" s="2"/>
      <c r="AJ8" s="2"/>
      <c r="AK8" s="2"/>
      <c r="AL8" s="2"/>
      <c r="AM8" s="2"/>
      <c r="AN8" s="2"/>
      <c r="AO8" s="2"/>
      <c r="AP8" s="2"/>
      <c r="AQ8" s="2"/>
    </row>
    <row r="9" spans="1:43" ht="22" customHeight="1" x14ac:dyDescent="0.2">
      <c r="A9" s="1"/>
      <c r="B9" s="96" t="s">
        <v>212</v>
      </c>
      <c r="C9" s="99" t="s">
        <v>213</v>
      </c>
      <c r="D9" s="92" t="s">
        <v>214</v>
      </c>
      <c r="E9" s="1"/>
      <c r="F9" s="1"/>
      <c r="G9" s="1"/>
      <c r="H9" s="1"/>
      <c r="I9" s="1"/>
      <c r="J9" s="1"/>
      <c r="K9" s="1"/>
      <c r="L9" s="1"/>
      <c r="M9" s="1"/>
      <c r="N9" s="1"/>
      <c r="O9" s="1"/>
      <c r="P9" s="1"/>
      <c r="Q9" s="1"/>
      <c r="R9" s="1"/>
      <c r="S9" s="1"/>
      <c r="T9" s="1"/>
      <c r="U9" s="1"/>
      <c r="V9" s="1"/>
      <c r="W9" s="1"/>
      <c r="X9" s="1"/>
      <c r="Y9" s="1"/>
      <c r="Z9" s="1"/>
      <c r="AA9" s="1"/>
      <c r="AB9" s="1"/>
      <c r="AC9" s="1"/>
      <c r="AD9" s="2"/>
      <c r="AE9" s="2"/>
      <c r="AF9" s="2"/>
      <c r="AG9" s="2"/>
      <c r="AH9" s="2"/>
      <c r="AI9" s="2"/>
      <c r="AJ9" s="2"/>
      <c r="AK9" s="2"/>
      <c r="AL9" s="2"/>
      <c r="AM9" s="2"/>
      <c r="AN9" s="2"/>
      <c r="AO9" s="2"/>
      <c r="AP9" s="2"/>
      <c r="AQ9" s="2"/>
    </row>
    <row r="10" spans="1:43" ht="22" customHeight="1" x14ac:dyDescent="0.2">
      <c r="A10" s="1"/>
      <c r="B10" s="96" t="s">
        <v>215</v>
      </c>
      <c r="C10" s="99" t="s">
        <v>216</v>
      </c>
      <c r="D10" s="92" t="s">
        <v>217</v>
      </c>
      <c r="E10" s="1"/>
      <c r="F10" s="1"/>
      <c r="G10" s="1"/>
      <c r="H10" s="1"/>
      <c r="I10" s="1"/>
      <c r="J10" s="1"/>
      <c r="K10" s="1"/>
      <c r="L10" s="1"/>
      <c r="M10" s="1"/>
      <c r="N10" s="1"/>
      <c r="O10" s="1"/>
      <c r="P10" s="1"/>
      <c r="Q10" s="1"/>
      <c r="R10" s="1"/>
      <c r="S10" s="1"/>
      <c r="T10" s="1"/>
      <c r="U10" s="1"/>
      <c r="V10" s="1"/>
      <c r="W10" s="1"/>
      <c r="X10" s="1"/>
      <c r="Y10" s="1"/>
      <c r="Z10" s="1"/>
      <c r="AA10" s="1"/>
      <c r="AB10" s="1"/>
      <c r="AC10" s="1"/>
      <c r="AD10" s="2"/>
      <c r="AE10" s="2"/>
      <c r="AF10" s="2"/>
      <c r="AG10" s="2"/>
      <c r="AH10" s="2"/>
      <c r="AI10" s="2"/>
      <c r="AJ10" s="2"/>
      <c r="AK10" s="2"/>
      <c r="AL10" s="2"/>
      <c r="AM10" s="2"/>
      <c r="AN10" s="2"/>
      <c r="AO10" s="2"/>
      <c r="AP10" s="2"/>
      <c r="AQ10" s="2"/>
    </row>
    <row r="11" spans="1:43" ht="22" customHeight="1" x14ac:dyDescent="0.2">
      <c r="A11" s="1"/>
      <c r="B11" s="96" t="s">
        <v>407</v>
      </c>
      <c r="C11" s="99" t="s">
        <v>408</v>
      </c>
      <c r="D11" s="92" t="s">
        <v>409</v>
      </c>
      <c r="E11" s="1"/>
      <c r="F11" s="50">
        <f>IFERROR(MATCH(C11,{"Jan";"Feb";"Mar";"Apr";"May";"Jun";"Jul";"Aug";"Sep";"Oct";"Nov";"Dec"},0),7)</f>
        <v>7</v>
      </c>
      <c r="G11" s="1"/>
      <c r="H11" s="1"/>
      <c r="I11" s="1"/>
      <c r="J11" s="1"/>
      <c r="K11" s="1"/>
      <c r="L11" s="1"/>
      <c r="M11" s="1"/>
      <c r="N11" s="1"/>
      <c r="O11" s="1"/>
      <c r="P11" s="1"/>
      <c r="Q11" s="1"/>
      <c r="R11" s="1"/>
      <c r="S11" s="1"/>
      <c r="T11" s="1"/>
      <c r="U11" s="1"/>
      <c r="V11" s="1"/>
      <c r="W11" s="1"/>
      <c r="X11" s="1"/>
      <c r="Y11" s="1"/>
      <c r="Z11" s="1"/>
      <c r="AA11" s="1"/>
      <c r="AB11" s="1"/>
      <c r="AC11" s="1"/>
      <c r="AD11" s="2"/>
      <c r="AE11" s="2"/>
      <c r="AF11" s="2"/>
      <c r="AG11" s="2"/>
      <c r="AH11" s="2"/>
      <c r="AI11" s="2"/>
      <c r="AJ11" s="2"/>
      <c r="AK11" s="2"/>
      <c r="AL11" s="2"/>
      <c r="AM11" s="2"/>
      <c r="AN11" s="2"/>
      <c r="AO11" s="2"/>
      <c r="AP11" s="2"/>
      <c r="AQ11" s="2"/>
    </row>
    <row r="12" spans="1:43" ht="22" customHeight="1" x14ac:dyDescent="0.2">
      <c r="A12" s="1"/>
      <c r="B12" s="96" t="s">
        <v>410</v>
      </c>
      <c r="C12" s="100">
        <f>inp_tax_rate</f>
        <v>0.25</v>
      </c>
      <c r="D12" s="92" t="s">
        <v>411</v>
      </c>
      <c r="E12" s="1"/>
      <c r="F12" s="1"/>
      <c r="G12" s="1"/>
      <c r="H12" s="1"/>
      <c r="I12" s="1"/>
      <c r="J12" s="1"/>
      <c r="K12" s="1"/>
      <c r="L12" s="1"/>
      <c r="M12" s="1"/>
      <c r="N12" s="1"/>
      <c r="O12" s="1"/>
      <c r="P12" s="1"/>
      <c r="Q12" s="1"/>
      <c r="R12" s="1"/>
      <c r="S12" s="1"/>
      <c r="T12" s="1"/>
      <c r="U12" s="1"/>
      <c r="V12" s="1"/>
      <c r="W12" s="1"/>
      <c r="X12" s="1"/>
      <c r="Y12" s="1"/>
      <c r="Z12" s="1"/>
      <c r="AA12" s="1"/>
      <c r="AB12" s="1"/>
      <c r="AC12" s="1"/>
      <c r="AD12" s="2"/>
      <c r="AE12" s="2"/>
      <c r="AF12" s="2"/>
      <c r="AG12" s="2"/>
      <c r="AH12" s="2"/>
      <c r="AI12" s="2"/>
      <c r="AJ12" s="2"/>
      <c r="AK12" s="2"/>
      <c r="AL12" s="2"/>
      <c r="AM12" s="2"/>
      <c r="AN12" s="2"/>
      <c r="AO12" s="2"/>
      <c r="AP12" s="2"/>
      <c r="AQ12" s="2"/>
    </row>
    <row r="13" spans="1:43" ht="22" customHeight="1" x14ac:dyDescent="0.2">
      <c r="A13" s="1"/>
      <c r="B13" s="96" t="s">
        <v>222</v>
      </c>
      <c r="C13" s="101" t="str">
        <f>Model!W3</f>
        <v>Base</v>
      </c>
      <c r="D13" s="92" t="s">
        <v>223</v>
      </c>
      <c r="E13" s="1"/>
      <c r="F13" s="1"/>
      <c r="G13" s="1"/>
      <c r="H13" s="1"/>
      <c r="I13" s="1"/>
      <c r="J13" s="1"/>
      <c r="K13" s="1"/>
      <c r="L13" s="1"/>
      <c r="M13" s="1"/>
      <c r="N13" s="1"/>
      <c r="O13" s="1"/>
      <c r="P13" s="1"/>
      <c r="Q13" s="1"/>
      <c r="R13" s="1"/>
      <c r="S13" s="1"/>
      <c r="T13" s="1"/>
      <c r="U13" s="1"/>
      <c r="V13" s="1"/>
      <c r="W13" s="1"/>
      <c r="X13" s="1"/>
      <c r="Y13" s="1"/>
      <c r="Z13" s="1"/>
      <c r="AA13" s="1"/>
      <c r="AB13" s="1"/>
      <c r="AC13" s="1"/>
      <c r="AD13" s="2"/>
      <c r="AE13" s="2"/>
      <c r="AF13" s="2"/>
      <c r="AG13" s="2"/>
      <c r="AH13" s="2"/>
      <c r="AI13" s="2"/>
      <c r="AJ13" s="2"/>
      <c r="AK13" s="2"/>
      <c r="AL13" s="2"/>
      <c r="AM13" s="2"/>
      <c r="AN13" s="2"/>
      <c r="AO13" s="2"/>
      <c r="AP13" s="2"/>
      <c r="AQ13" s="2"/>
    </row>
    <row r="14" spans="1:43" ht="22" customHeight="1" x14ac:dyDescent="0.2">
      <c r="A14" s="1"/>
      <c r="B14" s="96" t="s">
        <v>224</v>
      </c>
      <c r="C14" s="101" t="str">
        <f>Model!W4</f>
        <v>All Three</v>
      </c>
      <c r="D14" s="92" t="s">
        <v>225</v>
      </c>
      <c r="E14" s="1"/>
      <c r="F14" s="1"/>
      <c r="G14" s="1"/>
      <c r="H14" s="1"/>
      <c r="I14" s="1"/>
      <c r="J14" s="1"/>
      <c r="K14" s="1"/>
      <c r="L14" s="1"/>
      <c r="M14" s="1"/>
      <c r="N14" s="1"/>
      <c r="O14" s="1"/>
      <c r="P14" s="1"/>
      <c r="Q14" s="1"/>
      <c r="R14" s="1"/>
      <c r="S14" s="1"/>
      <c r="T14" s="1"/>
      <c r="U14" s="1"/>
      <c r="V14" s="1"/>
      <c r="W14" s="1"/>
      <c r="X14" s="1"/>
      <c r="Y14" s="1"/>
      <c r="Z14" s="1"/>
      <c r="AA14" s="1"/>
      <c r="AB14" s="1"/>
      <c r="AC14" s="1"/>
      <c r="AD14" s="2"/>
      <c r="AE14" s="2"/>
      <c r="AF14" s="2"/>
      <c r="AG14" s="2"/>
      <c r="AH14" s="2"/>
      <c r="AI14" s="2"/>
      <c r="AJ14" s="2"/>
      <c r="AK14" s="2"/>
      <c r="AL14" s="2"/>
      <c r="AM14" s="2"/>
      <c r="AN14" s="2"/>
      <c r="AO14" s="2"/>
      <c r="AP14" s="2"/>
      <c r="AQ14" s="2"/>
    </row>
    <row r="15" spans="1:43" ht="22" customHeight="1" x14ac:dyDescent="0.2">
      <c r="A15" s="1"/>
      <c r="B15" s="96" t="s">
        <v>226</v>
      </c>
      <c r="C15" s="101" t="str">
        <f>Model!W5</f>
        <v>24 months</v>
      </c>
      <c r="D15" s="92" t="s">
        <v>227</v>
      </c>
      <c r="E15" s="1"/>
      <c r="F15" s="1"/>
      <c r="G15" s="1"/>
      <c r="H15" s="1"/>
      <c r="I15" s="1"/>
      <c r="J15" s="1"/>
      <c r="K15" s="1"/>
      <c r="L15" s="1"/>
      <c r="M15" s="1"/>
      <c r="N15" s="1"/>
      <c r="O15" s="1"/>
      <c r="P15" s="1"/>
      <c r="Q15" s="1"/>
      <c r="R15" s="1"/>
      <c r="S15" s="1"/>
      <c r="T15" s="1"/>
      <c r="U15" s="1"/>
      <c r="V15" s="1"/>
      <c r="W15" s="1"/>
      <c r="X15" s="1"/>
      <c r="Y15" s="1"/>
      <c r="Z15" s="1"/>
      <c r="AA15" s="1"/>
      <c r="AB15" s="1"/>
      <c r="AC15" s="1"/>
      <c r="AD15" s="2"/>
      <c r="AE15" s="2"/>
      <c r="AF15" s="2"/>
      <c r="AG15" s="2"/>
      <c r="AH15" s="2"/>
      <c r="AI15" s="2"/>
      <c r="AJ15" s="2"/>
      <c r="AK15" s="2"/>
      <c r="AL15" s="2"/>
      <c r="AM15" s="2"/>
      <c r="AN15" s="2"/>
      <c r="AO15" s="2"/>
      <c r="AP15" s="2"/>
      <c r="AQ15" s="2"/>
    </row>
    <row r="16" spans="1:43" x14ac:dyDescent="0.2">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2"/>
      <c r="AE16" s="2"/>
      <c r="AF16" s="2"/>
      <c r="AG16" s="2"/>
      <c r="AH16" s="2"/>
      <c r="AI16" s="2"/>
      <c r="AJ16" s="2"/>
      <c r="AK16" s="2"/>
      <c r="AL16" s="2"/>
      <c r="AM16" s="2"/>
      <c r="AN16" s="2"/>
      <c r="AO16" s="2"/>
      <c r="AP16" s="2"/>
      <c r="AQ16" s="2"/>
    </row>
    <row r="17" spans="1:43" ht="22" customHeight="1" x14ac:dyDescent="0.2">
      <c r="A17" s="1"/>
      <c r="B17" s="19" t="s">
        <v>228</v>
      </c>
      <c r="C17" s="15" t="s">
        <v>229</v>
      </c>
      <c r="D17" s="6"/>
      <c r="E17" s="6"/>
      <c r="F17" s="6"/>
      <c r="G17" s="6"/>
      <c r="H17" s="94"/>
      <c r="I17" s="94"/>
      <c r="J17" s="94"/>
      <c r="K17" s="94"/>
      <c r="L17" s="94"/>
      <c r="M17" s="94"/>
      <c r="N17" s="94"/>
      <c r="O17" s="94"/>
      <c r="P17" s="94"/>
      <c r="Q17" s="94"/>
      <c r="R17" s="94"/>
      <c r="S17" s="94"/>
      <c r="T17" s="94"/>
      <c r="U17" s="94"/>
      <c r="V17" s="94"/>
      <c r="W17" s="94"/>
      <c r="X17" s="94"/>
      <c r="Y17" s="94"/>
      <c r="Z17" s="94"/>
      <c r="AA17" s="94"/>
      <c r="AB17" s="94"/>
      <c r="AC17" s="95"/>
      <c r="AD17" s="2"/>
      <c r="AE17" s="2"/>
      <c r="AF17" s="2"/>
      <c r="AG17" s="2"/>
      <c r="AH17" s="2"/>
      <c r="AI17" s="2"/>
      <c r="AJ17" s="2"/>
      <c r="AK17" s="2"/>
      <c r="AL17" s="2"/>
      <c r="AM17" s="2"/>
      <c r="AN17" s="2"/>
      <c r="AO17" s="2"/>
      <c r="AP17" s="2"/>
      <c r="AQ17" s="2"/>
    </row>
    <row r="18" spans="1:43" ht="22" customHeight="1" x14ac:dyDescent="0.2">
      <c r="A18" s="1"/>
      <c r="B18" s="96" t="s">
        <v>230</v>
      </c>
      <c r="C18" s="47"/>
      <c r="D18" s="92" t="s">
        <v>231</v>
      </c>
      <c r="E18" s="1"/>
      <c r="F18" s="1"/>
      <c r="G18" s="1"/>
      <c r="H18" s="1"/>
      <c r="I18" s="1"/>
      <c r="J18" s="1"/>
      <c r="K18" s="1"/>
      <c r="L18" s="1"/>
      <c r="M18" s="1"/>
      <c r="N18" s="1"/>
      <c r="O18" s="1"/>
      <c r="P18" s="1"/>
      <c r="Q18" s="1"/>
      <c r="R18" s="1"/>
      <c r="S18" s="1"/>
      <c r="T18" s="1"/>
      <c r="U18" s="1"/>
      <c r="V18" s="1"/>
      <c r="W18" s="1"/>
      <c r="X18" s="1"/>
      <c r="Y18" s="1"/>
      <c r="Z18" s="1"/>
      <c r="AA18" s="1"/>
      <c r="AB18" s="1"/>
      <c r="AC18" s="1"/>
      <c r="AD18" s="2"/>
      <c r="AE18" s="2"/>
      <c r="AF18" s="2"/>
      <c r="AG18" s="2"/>
      <c r="AH18" s="2"/>
      <c r="AI18" s="2"/>
      <c r="AJ18" s="2"/>
      <c r="AK18" s="2"/>
      <c r="AL18" s="2"/>
      <c r="AM18" s="2"/>
      <c r="AN18" s="2"/>
      <c r="AO18" s="2"/>
      <c r="AP18" s="2"/>
      <c r="AQ18" s="2"/>
    </row>
    <row r="19" spans="1:43" ht="22" customHeight="1" x14ac:dyDescent="0.2">
      <c r="A19" s="1"/>
      <c r="B19" s="96" t="s">
        <v>232</v>
      </c>
      <c r="C19" s="47"/>
      <c r="D19" s="92" t="s">
        <v>233</v>
      </c>
      <c r="E19" s="1"/>
      <c r="F19" s="1"/>
      <c r="G19" s="1"/>
      <c r="H19" s="1"/>
      <c r="I19" s="1"/>
      <c r="J19" s="1"/>
      <c r="K19" s="1"/>
      <c r="L19" s="1"/>
      <c r="M19" s="1"/>
      <c r="N19" s="1"/>
      <c r="O19" s="1"/>
      <c r="P19" s="1"/>
      <c r="Q19" s="1"/>
      <c r="R19" s="1"/>
      <c r="S19" s="1"/>
      <c r="T19" s="1"/>
      <c r="U19" s="1"/>
      <c r="V19" s="1"/>
      <c r="W19" s="1"/>
      <c r="X19" s="1"/>
      <c r="Y19" s="1"/>
      <c r="Z19" s="1"/>
      <c r="AA19" s="1"/>
      <c r="AB19" s="1"/>
      <c r="AC19" s="1"/>
      <c r="AD19" s="2"/>
      <c r="AE19" s="2"/>
      <c r="AF19" s="2"/>
      <c r="AG19" s="2"/>
      <c r="AH19" s="2"/>
      <c r="AI19" s="2"/>
      <c r="AJ19" s="2"/>
      <c r="AK19" s="2"/>
      <c r="AL19" s="2"/>
      <c r="AM19" s="2"/>
      <c r="AN19" s="2"/>
      <c r="AO19" s="2"/>
      <c r="AP19" s="2"/>
      <c r="AQ19" s="2"/>
    </row>
    <row r="20" spans="1:43" ht="22" customHeight="1" x14ac:dyDescent="0.2">
      <c r="A20" s="1"/>
      <c r="B20" s="96" t="s">
        <v>234</v>
      </c>
      <c r="C20" s="47"/>
      <c r="D20" s="92" t="s">
        <v>235</v>
      </c>
      <c r="E20" s="1"/>
      <c r="F20" s="1"/>
      <c r="G20" s="1"/>
      <c r="H20" s="1"/>
      <c r="I20" s="1"/>
      <c r="J20" s="1"/>
      <c r="K20" s="1"/>
      <c r="L20" s="1"/>
      <c r="M20" s="1"/>
      <c r="N20" s="1"/>
      <c r="O20" s="1"/>
      <c r="P20" s="1"/>
      <c r="Q20" s="1"/>
      <c r="R20" s="1"/>
      <c r="S20" s="1"/>
      <c r="T20" s="1"/>
      <c r="U20" s="1"/>
      <c r="V20" s="1"/>
      <c r="W20" s="1"/>
      <c r="X20" s="1"/>
      <c r="Y20" s="1"/>
      <c r="Z20" s="1"/>
      <c r="AA20" s="1"/>
      <c r="AB20" s="1"/>
      <c r="AC20" s="1"/>
      <c r="AD20" s="2"/>
      <c r="AE20" s="2"/>
      <c r="AF20" s="2"/>
      <c r="AG20" s="2"/>
      <c r="AH20" s="2"/>
      <c r="AI20" s="2"/>
      <c r="AJ20" s="2"/>
      <c r="AK20" s="2"/>
      <c r="AL20" s="2"/>
      <c r="AM20" s="2"/>
      <c r="AN20" s="2"/>
      <c r="AO20" s="2"/>
      <c r="AP20" s="2"/>
      <c r="AQ20" s="2"/>
    </row>
    <row r="21" spans="1:43" ht="22" customHeight="1" x14ac:dyDescent="0.2">
      <c r="A21" s="1"/>
      <c r="B21" s="96" t="s">
        <v>236</v>
      </c>
      <c r="C21" s="47"/>
      <c r="D21" s="92" t="s">
        <v>237</v>
      </c>
      <c r="E21" s="1"/>
      <c r="F21" s="1"/>
      <c r="G21" s="1"/>
      <c r="H21" s="1"/>
      <c r="I21" s="1"/>
      <c r="J21" s="1"/>
      <c r="K21" s="1"/>
      <c r="L21" s="1"/>
      <c r="M21" s="1"/>
      <c r="N21" s="1"/>
      <c r="O21" s="1"/>
      <c r="P21" s="1"/>
      <c r="Q21" s="1"/>
      <c r="R21" s="1"/>
      <c r="S21" s="1"/>
      <c r="T21" s="1"/>
      <c r="U21" s="1"/>
      <c r="V21" s="1"/>
      <c r="W21" s="1"/>
      <c r="X21" s="1"/>
      <c r="Y21" s="1"/>
      <c r="Z21" s="1"/>
      <c r="AA21" s="1"/>
      <c r="AB21" s="1"/>
      <c r="AC21" s="1"/>
      <c r="AD21" s="2"/>
      <c r="AE21" s="2"/>
      <c r="AF21" s="2"/>
      <c r="AG21" s="2"/>
      <c r="AH21" s="2"/>
      <c r="AI21" s="2"/>
      <c r="AJ21" s="2"/>
      <c r="AK21" s="2"/>
      <c r="AL21" s="2"/>
      <c r="AM21" s="2"/>
      <c r="AN21" s="2"/>
      <c r="AO21" s="2"/>
      <c r="AP21" s="2"/>
      <c r="AQ21" s="2"/>
    </row>
    <row r="22" spans="1:43" ht="22" customHeight="1" x14ac:dyDescent="0.2">
      <c r="A22" s="1"/>
      <c r="B22" s="96" t="s">
        <v>238</v>
      </c>
      <c r="C22" s="47"/>
      <c r="D22" s="92" t="s">
        <v>239</v>
      </c>
      <c r="E22" s="1"/>
      <c r="F22" s="1"/>
      <c r="G22" s="1"/>
      <c r="H22" s="1"/>
      <c r="I22" s="1"/>
      <c r="J22" s="1"/>
      <c r="K22" s="1"/>
      <c r="L22" s="1"/>
      <c r="M22" s="1"/>
      <c r="N22" s="1"/>
      <c r="O22" s="1"/>
      <c r="P22" s="1"/>
      <c r="Q22" s="1"/>
      <c r="R22" s="1"/>
      <c r="S22" s="1"/>
      <c r="T22" s="1"/>
      <c r="U22" s="1"/>
      <c r="V22" s="1"/>
      <c r="W22" s="1"/>
      <c r="X22" s="1"/>
      <c r="Y22" s="1"/>
      <c r="Z22" s="1"/>
      <c r="AA22" s="1"/>
      <c r="AB22" s="1"/>
      <c r="AC22" s="1"/>
      <c r="AD22" s="2"/>
      <c r="AE22" s="2"/>
      <c r="AF22" s="2"/>
      <c r="AG22" s="2"/>
      <c r="AH22" s="2"/>
      <c r="AI22" s="2"/>
      <c r="AJ22" s="2"/>
      <c r="AK22" s="2"/>
      <c r="AL22" s="2"/>
      <c r="AM22" s="2"/>
      <c r="AN22" s="2"/>
      <c r="AO22" s="2"/>
      <c r="AP22" s="2"/>
      <c r="AQ22" s="2"/>
    </row>
    <row r="23" spans="1:43" ht="22" customHeight="1" x14ac:dyDescent="0.2">
      <c r="A23" s="1"/>
      <c r="B23" s="96" t="s">
        <v>240</v>
      </c>
      <c r="C23" s="47"/>
      <c r="D23" s="92" t="s">
        <v>241</v>
      </c>
      <c r="E23" s="1"/>
      <c r="F23" s="1"/>
      <c r="G23" s="1"/>
      <c r="H23" s="1"/>
      <c r="I23" s="1"/>
      <c r="J23" s="1"/>
      <c r="K23" s="1"/>
      <c r="L23" s="1"/>
      <c r="M23" s="1"/>
      <c r="N23" s="1"/>
      <c r="O23" s="1"/>
      <c r="P23" s="1"/>
      <c r="Q23" s="1"/>
      <c r="R23" s="1"/>
      <c r="S23" s="1"/>
      <c r="T23" s="1"/>
      <c r="U23" s="1"/>
      <c r="V23" s="1"/>
      <c r="W23" s="1"/>
      <c r="X23" s="1"/>
      <c r="Y23" s="1"/>
      <c r="Z23" s="1"/>
      <c r="AA23" s="1"/>
      <c r="AB23" s="1"/>
      <c r="AC23" s="1"/>
      <c r="AD23" s="2"/>
      <c r="AE23" s="2"/>
      <c r="AF23" s="2"/>
      <c r="AG23" s="2"/>
      <c r="AH23" s="2"/>
      <c r="AI23" s="2"/>
      <c r="AJ23" s="2"/>
      <c r="AK23" s="2"/>
      <c r="AL23" s="2"/>
      <c r="AM23" s="2"/>
      <c r="AN23" s="2"/>
      <c r="AO23" s="2"/>
      <c r="AP23" s="2"/>
      <c r="AQ23" s="2"/>
    </row>
    <row r="24" spans="1:43" ht="22" customHeight="1" x14ac:dyDescent="0.2">
      <c r="A24" s="1"/>
      <c r="B24" s="96" t="s">
        <v>242</v>
      </c>
      <c r="C24" s="47"/>
      <c r="D24" s="92" t="s">
        <v>243</v>
      </c>
      <c r="E24" s="1"/>
      <c r="F24" s="1"/>
      <c r="G24" s="1"/>
      <c r="H24" s="1"/>
      <c r="I24" s="1"/>
      <c r="J24" s="1"/>
      <c r="K24" s="1"/>
      <c r="L24" s="1"/>
      <c r="M24" s="1"/>
      <c r="N24" s="1"/>
      <c r="O24" s="1"/>
      <c r="P24" s="1"/>
      <c r="Q24" s="1"/>
      <c r="R24" s="1"/>
      <c r="S24" s="1"/>
      <c r="T24" s="1"/>
      <c r="U24" s="1"/>
      <c r="V24" s="1"/>
      <c r="W24" s="1"/>
      <c r="X24" s="1"/>
      <c r="Y24" s="1"/>
      <c r="Z24" s="1"/>
      <c r="AA24" s="1"/>
      <c r="AB24" s="1"/>
      <c r="AC24" s="1"/>
      <c r="AD24" s="2"/>
      <c r="AE24" s="2"/>
      <c r="AF24" s="2"/>
      <c r="AG24" s="2"/>
      <c r="AH24" s="2"/>
      <c r="AI24" s="2"/>
      <c r="AJ24" s="2"/>
      <c r="AK24" s="2"/>
      <c r="AL24" s="2"/>
      <c r="AM24" s="2"/>
      <c r="AN24" s="2"/>
      <c r="AO24" s="2"/>
      <c r="AP24" s="2"/>
      <c r="AQ24" s="2"/>
    </row>
    <row r="25" spans="1:43" ht="22" customHeight="1" x14ac:dyDescent="0.2">
      <c r="A25" s="1"/>
      <c r="B25" s="96" t="s">
        <v>244</v>
      </c>
      <c r="C25" s="47"/>
      <c r="D25" s="92" t="s">
        <v>245</v>
      </c>
      <c r="E25" s="1"/>
      <c r="F25" s="1"/>
      <c r="G25" s="1"/>
      <c r="H25" s="1"/>
      <c r="I25" s="1"/>
      <c r="J25" s="1"/>
      <c r="K25" s="1"/>
      <c r="L25" s="1"/>
      <c r="M25" s="1"/>
      <c r="N25" s="1"/>
      <c r="O25" s="1"/>
      <c r="P25" s="1"/>
      <c r="Q25" s="1"/>
      <c r="R25" s="1"/>
      <c r="S25" s="1"/>
      <c r="T25" s="1"/>
      <c r="U25" s="1"/>
      <c r="V25" s="1"/>
      <c r="W25" s="1"/>
      <c r="X25" s="1"/>
      <c r="Y25" s="1"/>
      <c r="Z25" s="1"/>
      <c r="AA25" s="1"/>
      <c r="AB25" s="1"/>
      <c r="AC25" s="1"/>
      <c r="AD25" s="2"/>
      <c r="AE25" s="2"/>
      <c r="AF25" s="2"/>
      <c r="AG25" s="2"/>
      <c r="AH25" s="2"/>
      <c r="AI25" s="2"/>
      <c r="AJ25" s="2"/>
      <c r="AK25" s="2"/>
      <c r="AL25" s="2"/>
      <c r="AM25" s="2"/>
      <c r="AN25" s="2"/>
      <c r="AO25" s="2"/>
      <c r="AP25" s="2"/>
      <c r="AQ25" s="2"/>
    </row>
    <row r="26" spans="1:43" ht="22" customHeight="1" x14ac:dyDescent="0.2">
      <c r="A26" s="1"/>
      <c r="B26" s="96" t="s">
        <v>246</v>
      </c>
      <c r="C26" s="47"/>
      <c r="D26" s="92" t="s">
        <v>247</v>
      </c>
      <c r="E26" s="1"/>
      <c r="F26" s="1"/>
      <c r="G26" s="1"/>
      <c r="H26" s="1"/>
      <c r="I26" s="1"/>
      <c r="J26" s="1"/>
      <c r="K26" s="1"/>
      <c r="L26" s="1"/>
      <c r="M26" s="1"/>
      <c r="N26" s="1"/>
      <c r="O26" s="1"/>
      <c r="P26" s="1"/>
      <c r="Q26" s="1"/>
      <c r="R26" s="1"/>
      <c r="S26" s="1"/>
      <c r="T26" s="1"/>
      <c r="U26" s="1"/>
      <c r="V26" s="1"/>
      <c r="W26" s="1"/>
      <c r="X26" s="1"/>
      <c r="Y26" s="1"/>
      <c r="Z26" s="1"/>
      <c r="AA26" s="1"/>
      <c r="AB26" s="1"/>
      <c r="AC26" s="1"/>
      <c r="AD26" s="2"/>
      <c r="AE26" s="2"/>
      <c r="AF26" s="2"/>
      <c r="AG26" s="2"/>
      <c r="AH26" s="2"/>
      <c r="AI26" s="2"/>
      <c r="AJ26" s="2"/>
      <c r="AK26" s="2"/>
      <c r="AL26" s="2"/>
      <c r="AM26" s="2"/>
      <c r="AN26" s="2"/>
      <c r="AO26" s="2"/>
      <c r="AP26" s="2"/>
      <c r="AQ26" s="2"/>
    </row>
    <row r="27" spans="1:43" ht="22" customHeight="1" x14ac:dyDescent="0.2">
      <c r="A27" s="1"/>
      <c r="B27" s="96" t="s">
        <v>248</v>
      </c>
      <c r="C27" s="24">
        <f>(inp_open_cash+inp_open_ar+inp_open_oca+inp_open_fa)-(inp_open_ap+inp_open_ocl+inp_open_tax_pay+inp_open_debt+inp_open_sc)</f>
        <v>0</v>
      </c>
      <c r="D27" s="92" t="s">
        <v>249</v>
      </c>
      <c r="E27" s="1"/>
      <c r="F27" s="1"/>
      <c r="G27" s="1"/>
      <c r="H27" s="1"/>
      <c r="I27" s="1"/>
      <c r="J27" s="1"/>
      <c r="K27" s="1"/>
      <c r="L27" s="1"/>
      <c r="M27" s="1"/>
      <c r="N27" s="1"/>
      <c r="O27" s="1"/>
      <c r="P27" s="1"/>
      <c r="Q27" s="1"/>
      <c r="R27" s="1"/>
      <c r="S27" s="1"/>
      <c r="T27" s="1"/>
      <c r="U27" s="1"/>
      <c r="V27" s="1"/>
      <c r="W27" s="1"/>
      <c r="X27" s="1"/>
      <c r="Y27" s="1"/>
      <c r="Z27" s="1"/>
      <c r="AA27" s="1"/>
      <c r="AB27" s="1"/>
      <c r="AC27" s="1"/>
      <c r="AD27" s="2"/>
      <c r="AE27" s="2"/>
      <c r="AF27" s="2"/>
      <c r="AG27" s="2"/>
      <c r="AH27" s="2"/>
      <c r="AI27" s="2"/>
      <c r="AJ27" s="2"/>
      <c r="AK27" s="2"/>
      <c r="AL27" s="2"/>
      <c r="AM27" s="2"/>
      <c r="AN27" s="2"/>
      <c r="AO27" s="2"/>
      <c r="AP27" s="2"/>
      <c r="AQ27" s="2"/>
    </row>
    <row r="28" spans="1:43" ht="22" customHeight="1" x14ac:dyDescent="0.2">
      <c r="A28" s="1"/>
      <c r="B28" s="96" t="s">
        <v>250</v>
      </c>
      <c r="C28" s="25">
        <f>(inp_open_cash+inp_open_ar+inp_open_oca+inp_open_fa)-(inp_open_ap+inp_open_ocl+inp_open_tax_pay+inp_open_debt+inp_open_sc+inp_open_re)</f>
        <v>0</v>
      </c>
      <c r="D28" s="92" t="s">
        <v>251</v>
      </c>
      <c r="E28" s="1"/>
      <c r="F28" s="1"/>
      <c r="G28" s="1"/>
      <c r="H28" s="1"/>
      <c r="I28" s="1"/>
      <c r="J28" s="1"/>
      <c r="K28" s="1"/>
      <c r="L28" s="1"/>
      <c r="M28" s="1"/>
      <c r="N28" s="1"/>
      <c r="O28" s="1"/>
      <c r="P28" s="1"/>
      <c r="Q28" s="1"/>
      <c r="R28" s="1"/>
      <c r="S28" s="1"/>
      <c r="T28" s="1"/>
      <c r="U28" s="1"/>
      <c r="V28" s="1"/>
      <c r="W28" s="1"/>
      <c r="X28" s="1"/>
      <c r="Y28" s="1"/>
      <c r="Z28" s="1"/>
      <c r="AA28" s="1"/>
      <c r="AB28" s="1"/>
      <c r="AC28" s="1"/>
      <c r="AD28" s="2"/>
      <c r="AE28" s="2"/>
      <c r="AF28" s="2"/>
      <c r="AG28" s="2"/>
      <c r="AH28" s="2"/>
      <c r="AI28" s="2"/>
      <c r="AJ28" s="2"/>
      <c r="AK28" s="2"/>
      <c r="AL28" s="2"/>
      <c r="AM28" s="2"/>
      <c r="AN28" s="2"/>
      <c r="AO28" s="2"/>
      <c r="AP28" s="2"/>
      <c r="AQ28" s="2"/>
    </row>
    <row r="29" spans="1:43" x14ac:dyDescent="0.2">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2"/>
      <c r="AE29" s="2"/>
      <c r="AF29" s="2"/>
      <c r="AG29" s="2"/>
      <c r="AH29" s="2"/>
      <c r="AI29" s="2"/>
      <c r="AJ29" s="2"/>
      <c r="AK29" s="2"/>
      <c r="AL29" s="2"/>
      <c r="AM29" s="2"/>
      <c r="AN29" s="2"/>
      <c r="AO29" s="2"/>
      <c r="AP29" s="2"/>
      <c r="AQ29" s="2"/>
    </row>
    <row r="30" spans="1:43" ht="22" customHeight="1" x14ac:dyDescent="0.2">
      <c r="A30" s="1"/>
      <c r="B30" s="19" t="s">
        <v>252</v>
      </c>
      <c r="C30" s="15" t="s">
        <v>253</v>
      </c>
      <c r="D30" s="6"/>
      <c r="E30" s="6"/>
      <c r="F30" s="6"/>
      <c r="G30" s="6"/>
      <c r="H30" s="94"/>
      <c r="I30" s="94"/>
      <c r="J30" s="94"/>
      <c r="K30" s="94"/>
      <c r="L30" s="94"/>
      <c r="M30" s="94"/>
      <c r="N30" s="94"/>
      <c r="O30" s="94"/>
      <c r="P30" s="94"/>
      <c r="Q30" s="94"/>
      <c r="R30" s="94"/>
      <c r="S30" s="94"/>
      <c r="T30" s="94"/>
      <c r="U30" s="94"/>
      <c r="V30" s="94"/>
      <c r="W30" s="94"/>
      <c r="X30" s="94"/>
      <c r="Y30" s="94"/>
      <c r="Z30" s="94"/>
      <c r="AA30" s="94"/>
      <c r="AB30" s="94"/>
      <c r="AC30" s="95"/>
      <c r="AD30" s="2"/>
      <c r="AE30" s="2"/>
      <c r="AF30" s="2"/>
      <c r="AG30" s="2"/>
      <c r="AH30" s="2"/>
      <c r="AI30" s="2"/>
      <c r="AJ30" s="2"/>
      <c r="AK30" s="2"/>
      <c r="AL30" s="2"/>
      <c r="AM30" s="2"/>
      <c r="AN30" s="2"/>
      <c r="AO30" s="2"/>
      <c r="AP30" s="2"/>
      <c r="AQ30" s="2"/>
    </row>
    <row r="31" spans="1:43" ht="22" customHeight="1" x14ac:dyDescent="0.2">
      <c r="A31" s="1"/>
      <c r="B31" s="96" t="s">
        <v>86</v>
      </c>
      <c r="C31" s="45"/>
      <c r="D31" s="92" t="s">
        <v>254</v>
      </c>
      <c r="E31" s="1"/>
      <c r="F31" s="1"/>
      <c r="G31" s="1"/>
      <c r="H31" s="1"/>
      <c r="I31" s="1"/>
      <c r="J31" s="1"/>
      <c r="K31" s="1"/>
      <c r="L31" s="1"/>
      <c r="M31" s="1"/>
      <c r="N31" s="1"/>
      <c r="O31" s="1"/>
      <c r="P31" s="1"/>
      <c r="Q31" s="1"/>
      <c r="R31" s="1"/>
      <c r="S31" s="1"/>
      <c r="T31" s="1"/>
      <c r="U31" s="1"/>
      <c r="V31" s="1"/>
      <c r="W31" s="1"/>
      <c r="X31" s="1"/>
      <c r="Y31" s="1"/>
      <c r="Z31" s="1"/>
      <c r="AA31" s="1"/>
      <c r="AB31" s="1"/>
      <c r="AC31" s="1"/>
      <c r="AD31" s="2"/>
      <c r="AE31" s="2"/>
      <c r="AF31" s="2"/>
      <c r="AG31" s="2"/>
      <c r="AH31" s="2"/>
      <c r="AI31" s="2"/>
      <c r="AJ31" s="2"/>
      <c r="AK31" s="2"/>
      <c r="AL31" s="2"/>
      <c r="AM31" s="2"/>
      <c r="AN31" s="2"/>
      <c r="AO31" s="2"/>
      <c r="AP31" s="2"/>
      <c r="AQ31" s="2"/>
    </row>
    <row r="32" spans="1:43" ht="22" customHeight="1" x14ac:dyDescent="0.2">
      <c r="A32" s="1"/>
      <c r="B32" s="96" t="s">
        <v>87</v>
      </c>
      <c r="C32" s="45"/>
      <c r="D32" s="92" t="s">
        <v>255</v>
      </c>
      <c r="E32" s="1"/>
      <c r="F32" s="1"/>
      <c r="G32" s="1"/>
      <c r="H32" s="1"/>
      <c r="I32" s="1"/>
      <c r="J32" s="1"/>
      <c r="K32" s="1"/>
      <c r="L32" s="1"/>
      <c r="M32" s="1"/>
      <c r="N32" s="1"/>
      <c r="O32" s="1"/>
      <c r="P32" s="1"/>
      <c r="Q32" s="1"/>
      <c r="R32" s="1"/>
      <c r="S32" s="1"/>
      <c r="T32" s="1"/>
      <c r="U32" s="1"/>
      <c r="V32" s="1"/>
      <c r="W32" s="1"/>
      <c r="X32" s="1"/>
      <c r="Y32" s="1"/>
      <c r="Z32" s="1"/>
      <c r="AA32" s="1"/>
      <c r="AB32" s="1"/>
      <c r="AC32" s="1"/>
      <c r="AD32" s="2"/>
      <c r="AE32" s="2"/>
      <c r="AF32" s="2"/>
      <c r="AG32" s="2"/>
      <c r="AH32" s="2"/>
      <c r="AI32" s="2"/>
      <c r="AJ32" s="2"/>
      <c r="AK32" s="2"/>
      <c r="AL32" s="2"/>
      <c r="AM32" s="2"/>
      <c r="AN32" s="2"/>
      <c r="AO32" s="2"/>
      <c r="AP32" s="2"/>
      <c r="AQ32" s="2"/>
    </row>
    <row r="33" spans="1:43" ht="22" customHeight="1" x14ac:dyDescent="0.2">
      <c r="A33" s="1"/>
      <c r="B33" s="96" t="s">
        <v>256</v>
      </c>
      <c r="C33" s="47"/>
      <c r="D33" s="92" t="s">
        <v>257</v>
      </c>
      <c r="E33" s="1"/>
      <c r="F33" s="1"/>
      <c r="G33" s="1"/>
      <c r="H33" s="1"/>
      <c r="I33" s="1"/>
      <c r="J33" s="1"/>
      <c r="K33" s="1"/>
      <c r="L33" s="1"/>
      <c r="M33" s="1"/>
      <c r="N33" s="1"/>
      <c r="O33" s="1"/>
      <c r="P33" s="1"/>
      <c r="Q33" s="1"/>
      <c r="R33" s="1"/>
      <c r="S33" s="1"/>
      <c r="T33" s="1"/>
      <c r="U33" s="1"/>
      <c r="V33" s="1"/>
      <c r="W33" s="1"/>
      <c r="X33" s="1"/>
      <c r="Y33" s="1"/>
      <c r="Z33" s="1"/>
      <c r="AA33" s="1"/>
      <c r="AB33" s="1"/>
      <c r="AC33" s="1"/>
      <c r="AD33" s="2"/>
      <c r="AE33" s="2"/>
      <c r="AF33" s="2"/>
      <c r="AG33" s="2"/>
      <c r="AH33" s="2"/>
      <c r="AI33" s="2"/>
      <c r="AJ33" s="2"/>
      <c r="AK33" s="2"/>
      <c r="AL33" s="2"/>
      <c r="AM33" s="2"/>
      <c r="AN33" s="2"/>
      <c r="AO33" s="2"/>
      <c r="AP33" s="2"/>
      <c r="AQ33" s="2"/>
    </row>
    <row r="34" spans="1:43" ht="22" customHeight="1" x14ac:dyDescent="0.2">
      <c r="A34" s="1"/>
      <c r="B34" s="96" t="s">
        <v>258</v>
      </c>
      <c r="C34" s="47"/>
      <c r="D34" s="92" t="s">
        <v>259</v>
      </c>
      <c r="E34" s="1"/>
      <c r="F34" s="1"/>
      <c r="G34" s="1"/>
      <c r="H34" s="1"/>
      <c r="I34" s="1"/>
      <c r="J34" s="1"/>
      <c r="K34" s="1"/>
      <c r="L34" s="1"/>
      <c r="M34" s="1"/>
      <c r="N34" s="1"/>
      <c r="O34" s="1"/>
      <c r="P34" s="1"/>
      <c r="Q34" s="1"/>
      <c r="R34" s="1"/>
      <c r="S34" s="1"/>
      <c r="T34" s="1"/>
      <c r="U34" s="1"/>
      <c r="V34" s="1"/>
      <c r="W34" s="1"/>
      <c r="X34" s="1"/>
      <c r="Y34" s="1"/>
      <c r="Z34" s="1"/>
      <c r="AA34" s="1"/>
      <c r="AB34" s="1"/>
      <c r="AC34" s="1"/>
      <c r="AD34" s="2"/>
      <c r="AE34" s="2"/>
      <c r="AF34" s="2"/>
      <c r="AG34" s="2"/>
      <c r="AH34" s="2"/>
      <c r="AI34" s="2"/>
      <c r="AJ34" s="2"/>
      <c r="AK34" s="2"/>
      <c r="AL34" s="2"/>
      <c r="AM34" s="2"/>
      <c r="AN34" s="2"/>
      <c r="AO34" s="2"/>
      <c r="AP34" s="2"/>
      <c r="AQ34" s="2"/>
    </row>
    <row r="35" spans="1:43" x14ac:dyDescent="0.2">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2"/>
      <c r="AE35" s="2"/>
      <c r="AF35" s="2"/>
      <c r="AG35" s="2"/>
      <c r="AH35" s="2"/>
      <c r="AI35" s="2"/>
      <c r="AJ35" s="2"/>
      <c r="AK35" s="2"/>
      <c r="AL35" s="2"/>
      <c r="AM35" s="2"/>
      <c r="AN35" s="2"/>
      <c r="AO35" s="2"/>
      <c r="AP35" s="2"/>
      <c r="AQ35" s="2"/>
    </row>
    <row r="36" spans="1:43" ht="22" customHeight="1" x14ac:dyDescent="0.2">
      <c r="A36" s="1"/>
      <c r="B36" s="19" t="s">
        <v>260</v>
      </c>
      <c r="C36" s="15" t="s">
        <v>261</v>
      </c>
      <c r="D36" s="6"/>
      <c r="E36" s="6"/>
      <c r="F36" s="6"/>
      <c r="G36" s="6"/>
      <c r="H36" s="94"/>
      <c r="I36" s="94"/>
      <c r="J36" s="94"/>
      <c r="K36" s="94"/>
      <c r="L36" s="94"/>
      <c r="M36" s="94"/>
      <c r="N36" s="94"/>
      <c r="O36" s="94"/>
      <c r="P36" s="94"/>
      <c r="Q36" s="94"/>
      <c r="R36" s="94"/>
      <c r="S36" s="94"/>
      <c r="T36" s="94"/>
      <c r="U36" s="94"/>
      <c r="V36" s="94"/>
      <c r="W36" s="94"/>
      <c r="X36" s="94"/>
      <c r="Y36" s="94"/>
      <c r="Z36" s="94"/>
      <c r="AA36" s="94"/>
      <c r="AB36" s="94"/>
      <c r="AC36" s="95"/>
      <c r="AD36" s="2"/>
      <c r="AE36" s="2"/>
      <c r="AF36" s="2"/>
      <c r="AG36" s="2"/>
      <c r="AH36" s="2"/>
      <c r="AI36" s="2"/>
      <c r="AJ36" s="2"/>
      <c r="AK36" s="2"/>
      <c r="AL36" s="2"/>
      <c r="AM36" s="2"/>
      <c r="AN36" s="2"/>
      <c r="AO36" s="2"/>
      <c r="AP36" s="2"/>
      <c r="AQ36" s="2"/>
    </row>
    <row r="37" spans="1:43" ht="22" customHeight="1" x14ac:dyDescent="0.2">
      <c r="A37" s="1"/>
      <c r="B37" s="96" t="s">
        <v>262</v>
      </c>
      <c r="C37" s="49"/>
      <c r="D37" s="92" t="s">
        <v>263</v>
      </c>
      <c r="E37" s="1"/>
      <c r="F37" s="1"/>
      <c r="G37" s="1"/>
      <c r="H37" s="1"/>
      <c r="I37" s="1"/>
      <c r="J37" s="1"/>
      <c r="K37" s="1"/>
      <c r="L37" s="1"/>
      <c r="M37" s="1"/>
      <c r="N37" s="1"/>
      <c r="O37" s="1"/>
      <c r="P37" s="1"/>
      <c r="Q37" s="1"/>
      <c r="R37" s="1"/>
      <c r="S37" s="1"/>
      <c r="T37" s="1"/>
      <c r="U37" s="1"/>
      <c r="V37" s="1"/>
      <c r="W37" s="1"/>
      <c r="X37" s="1"/>
      <c r="Y37" s="1"/>
      <c r="Z37" s="1"/>
      <c r="AA37" s="1"/>
      <c r="AB37" s="1"/>
      <c r="AC37" s="1"/>
      <c r="AD37" s="2"/>
      <c r="AE37" s="2"/>
      <c r="AF37" s="2"/>
      <c r="AG37" s="2"/>
      <c r="AH37" s="2"/>
      <c r="AI37" s="2"/>
      <c r="AJ37" s="2"/>
      <c r="AK37" s="2"/>
      <c r="AL37" s="2"/>
      <c r="AM37" s="2"/>
      <c r="AN37" s="2"/>
      <c r="AO37" s="2"/>
      <c r="AP37" s="2"/>
      <c r="AQ37" s="2"/>
    </row>
    <row r="38" spans="1:43" ht="22" customHeight="1" x14ac:dyDescent="0.2">
      <c r="A38" s="1"/>
      <c r="B38" s="96" t="s">
        <v>264</v>
      </c>
      <c r="C38" s="51"/>
      <c r="D38" s="92" t="s">
        <v>265</v>
      </c>
      <c r="E38" s="1"/>
      <c r="F38" s="1"/>
      <c r="G38" s="1"/>
      <c r="H38" s="1"/>
      <c r="I38" s="1"/>
      <c r="J38" s="1"/>
      <c r="K38" s="1"/>
      <c r="L38" s="1"/>
      <c r="M38" s="1"/>
      <c r="N38" s="1"/>
      <c r="O38" s="1"/>
      <c r="P38" s="1"/>
      <c r="Q38" s="1"/>
      <c r="R38" s="1"/>
      <c r="S38" s="1"/>
      <c r="T38" s="1"/>
      <c r="U38" s="1"/>
      <c r="V38" s="1"/>
      <c r="W38" s="1"/>
      <c r="X38" s="1"/>
      <c r="Y38" s="1"/>
      <c r="Z38" s="1"/>
      <c r="AA38" s="1"/>
      <c r="AB38" s="1"/>
      <c r="AC38" s="1"/>
      <c r="AD38" s="2"/>
      <c r="AE38" s="2"/>
      <c r="AF38" s="2"/>
      <c r="AG38" s="2"/>
      <c r="AH38" s="2"/>
      <c r="AI38" s="2"/>
      <c r="AJ38" s="2"/>
      <c r="AK38" s="2"/>
      <c r="AL38" s="2"/>
      <c r="AM38" s="2"/>
      <c r="AN38" s="2"/>
      <c r="AO38" s="2"/>
      <c r="AP38" s="2"/>
      <c r="AQ38" s="2"/>
    </row>
    <row r="39" spans="1:43" ht="22" customHeight="1" x14ac:dyDescent="0.2">
      <c r="A39" s="1"/>
      <c r="B39" s="96" t="s">
        <v>266</v>
      </c>
      <c r="C39" s="47"/>
      <c r="D39" s="92" t="s">
        <v>267</v>
      </c>
      <c r="E39" s="1"/>
      <c r="F39" s="1"/>
      <c r="G39" s="1"/>
      <c r="H39" s="1"/>
      <c r="I39" s="1"/>
      <c r="J39" s="1"/>
      <c r="K39" s="1"/>
      <c r="L39" s="1"/>
      <c r="M39" s="1"/>
      <c r="N39" s="1"/>
      <c r="O39" s="1"/>
      <c r="P39" s="1"/>
      <c r="Q39" s="1"/>
      <c r="R39" s="1"/>
      <c r="S39" s="1"/>
      <c r="T39" s="1"/>
      <c r="U39" s="1"/>
      <c r="V39" s="1"/>
      <c r="W39" s="1"/>
      <c r="X39" s="1"/>
      <c r="Y39" s="1"/>
      <c r="Z39" s="1"/>
      <c r="AA39" s="1"/>
      <c r="AB39" s="1"/>
      <c r="AC39" s="1"/>
      <c r="AD39" s="2"/>
      <c r="AE39" s="2"/>
      <c r="AF39" s="2"/>
      <c r="AG39" s="2"/>
      <c r="AH39" s="2"/>
      <c r="AI39" s="2"/>
      <c r="AJ39" s="2"/>
      <c r="AK39" s="2"/>
      <c r="AL39" s="2"/>
      <c r="AM39" s="2"/>
      <c r="AN39" s="2"/>
      <c r="AO39" s="2"/>
      <c r="AP39" s="2"/>
      <c r="AQ39" s="2"/>
    </row>
    <row r="40" spans="1:43" ht="22" customHeight="1" x14ac:dyDescent="0.2">
      <c r="A40" s="1"/>
      <c r="B40" s="96" t="s">
        <v>268</v>
      </c>
      <c r="C40" s="54">
        <v>0.25</v>
      </c>
      <c r="D40" s="92" t="s">
        <v>269</v>
      </c>
      <c r="E40" s="1"/>
      <c r="F40" s="1"/>
      <c r="G40" s="1"/>
      <c r="H40" s="1"/>
      <c r="I40" s="1"/>
      <c r="J40" s="1"/>
      <c r="K40" s="1"/>
      <c r="L40" s="1"/>
      <c r="M40" s="1"/>
      <c r="N40" s="1"/>
      <c r="O40" s="1"/>
      <c r="P40" s="1"/>
      <c r="Q40" s="1"/>
      <c r="R40" s="1"/>
      <c r="S40" s="1"/>
      <c r="T40" s="1"/>
      <c r="U40" s="1"/>
      <c r="V40" s="1"/>
      <c r="W40" s="1"/>
      <c r="X40" s="1"/>
      <c r="Y40" s="1"/>
      <c r="Z40" s="1"/>
      <c r="AA40" s="1"/>
      <c r="AB40" s="1"/>
      <c r="AC40" s="1"/>
      <c r="AD40" s="2"/>
      <c r="AE40" s="2"/>
      <c r="AF40" s="2"/>
      <c r="AG40" s="2"/>
      <c r="AH40" s="2"/>
      <c r="AI40" s="2"/>
      <c r="AJ40" s="2"/>
      <c r="AK40" s="2"/>
      <c r="AL40" s="2"/>
      <c r="AM40" s="2"/>
      <c r="AN40" s="2"/>
      <c r="AO40" s="2"/>
      <c r="AP40" s="2"/>
      <c r="AQ40" s="2"/>
    </row>
    <row r="41" spans="1:43" ht="22" customHeight="1" x14ac:dyDescent="0.2">
      <c r="A41" s="1"/>
      <c r="B41" s="96" t="s">
        <v>270</v>
      </c>
      <c r="C41" s="48"/>
      <c r="D41" s="92" t="s">
        <v>271</v>
      </c>
      <c r="E41" s="1"/>
      <c r="F41" s="1"/>
      <c r="G41" s="1"/>
      <c r="H41" s="1"/>
      <c r="I41" s="1"/>
      <c r="J41" s="1"/>
      <c r="K41" s="1"/>
      <c r="L41" s="1"/>
      <c r="M41" s="1"/>
      <c r="N41" s="1"/>
      <c r="O41" s="1"/>
      <c r="P41" s="1"/>
      <c r="Q41" s="1"/>
      <c r="R41" s="1"/>
      <c r="S41" s="1"/>
      <c r="T41" s="1"/>
      <c r="U41" s="1"/>
      <c r="V41" s="1"/>
      <c r="W41" s="1"/>
      <c r="X41" s="1"/>
      <c r="Y41" s="1"/>
      <c r="Z41" s="1"/>
      <c r="AA41" s="1"/>
      <c r="AB41" s="1"/>
      <c r="AC41" s="1"/>
      <c r="AD41" s="2"/>
      <c r="AE41" s="2"/>
      <c r="AF41" s="2"/>
      <c r="AG41" s="2"/>
      <c r="AH41" s="2"/>
      <c r="AI41" s="2"/>
      <c r="AJ41" s="2"/>
      <c r="AK41" s="2"/>
      <c r="AL41" s="2"/>
      <c r="AM41" s="2"/>
      <c r="AN41" s="2"/>
      <c r="AO41" s="2"/>
      <c r="AP41" s="2"/>
      <c r="AQ41" s="2"/>
    </row>
    <row r="42" spans="1:43" ht="22" customHeight="1" x14ac:dyDescent="0.2">
      <c r="A42" s="1"/>
      <c r="B42" s="96" t="s">
        <v>272</v>
      </c>
      <c r="C42" s="48"/>
      <c r="D42" s="92" t="s">
        <v>273</v>
      </c>
      <c r="E42" s="1"/>
      <c r="F42" s="1"/>
      <c r="G42" s="1"/>
      <c r="H42" s="1"/>
      <c r="I42" s="1"/>
      <c r="J42" s="1"/>
      <c r="K42" s="1"/>
      <c r="L42" s="1"/>
      <c r="M42" s="1"/>
      <c r="N42" s="1"/>
      <c r="O42" s="1"/>
      <c r="P42" s="1"/>
      <c r="Q42" s="1"/>
      <c r="R42" s="1"/>
      <c r="S42" s="1"/>
      <c r="T42" s="1"/>
      <c r="U42" s="1"/>
      <c r="V42" s="1"/>
      <c r="W42" s="1"/>
      <c r="X42" s="1"/>
      <c r="Y42" s="1"/>
      <c r="Z42" s="1"/>
      <c r="AA42" s="1"/>
      <c r="AB42" s="1"/>
      <c r="AC42" s="1"/>
      <c r="AD42" s="2"/>
      <c r="AE42" s="2"/>
      <c r="AF42" s="2"/>
      <c r="AG42" s="2"/>
      <c r="AH42" s="2"/>
      <c r="AI42" s="2"/>
      <c r="AJ42" s="2"/>
      <c r="AK42" s="2"/>
      <c r="AL42" s="2"/>
      <c r="AM42" s="2"/>
      <c r="AN42" s="2"/>
      <c r="AO42" s="2"/>
      <c r="AP42" s="2"/>
      <c r="AQ42" s="2"/>
    </row>
    <row r="43" spans="1:43" x14ac:dyDescent="0.2">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2"/>
      <c r="AE43" s="2"/>
      <c r="AF43" s="2"/>
      <c r="AG43" s="2"/>
      <c r="AH43" s="2"/>
      <c r="AI43" s="2"/>
      <c r="AJ43" s="2"/>
      <c r="AK43" s="2"/>
      <c r="AL43" s="2"/>
      <c r="AM43" s="2"/>
      <c r="AN43" s="2"/>
      <c r="AO43" s="2"/>
      <c r="AP43" s="2"/>
      <c r="AQ43" s="2"/>
    </row>
    <row r="44" spans="1:43" ht="22" customHeight="1" x14ac:dyDescent="0.2">
      <c r="A44" s="1"/>
      <c r="B44" s="19" t="s">
        <v>274</v>
      </c>
      <c r="C44" s="15" t="s">
        <v>275</v>
      </c>
      <c r="D44" s="6"/>
      <c r="E44" s="6"/>
      <c r="F44" s="6"/>
      <c r="G44" s="6"/>
      <c r="H44" s="94"/>
      <c r="I44" s="94"/>
      <c r="J44" s="94"/>
      <c r="K44" s="94"/>
      <c r="L44" s="94"/>
      <c r="M44" s="94"/>
      <c r="N44" s="94"/>
      <c r="O44" s="94"/>
      <c r="P44" s="94"/>
      <c r="Q44" s="94"/>
      <c r="R44" s="94"/>
      <c r="S44" s="94"/>
      <c r="T44" s="94"/>
      <c r="U44" s="94"/>
      <c r="V44" s="94"/>
      <c r="W44" s="94"/>
      <c r="X44" s="94"/>
      <c r="Y44" s="94"/>
      <c r="Z44" s="94"/>
      <c r="AA44" s="94"/>
      <c r="AB44" s="94"/>
      <c r="AC44" s="95"/>
      <c r="AD44" s="2"/>
      <c r="AE44" s="2"/>
      <c r="AF44" s="2"/>
      <c r="AG44" s="2"/>
      <c r="AH44" s="2"/>
      <c r="AI44" s="2"/>
      <c r="AJ44" s="2"/>
      <c r="AK44" s="2"/>
      <c r="AL44" s="2"/>
      <c r="AM44" s="2"/>
      <c r="AN44" s="2"/>
      <c r="AO44" s="2"/>
      <c r="AP44" s="2"/>
      <c r="AQ44" s="2"/>
    </row>
    <row r="45" spans="1:43" ht="22" customHeight="1" x14ac:dyDescent="0.2">
      <c r="A45" s="1"/>
      <c r="B45" s="27"/>
      <c r="C45" s="1"/>
      <c r="D45" s="27" t="s">
        <v>276</v>
      </c>
      <c r="E45" s="28" t="s">
        <v>44</v>
      </c>
      <c r="F45" s="28" t="s">
        <v>45</v>
      </c>
      <c r="G45" s="28" t="s">
        <v>46</v>
      </c>
      <c r="H45" s="28" t="s">
        <v>47</v>
      </c>
      <c r="I45" s="28" t="s">
        <v>48</v>
      </c>
      <c r="J45" s="28" t="s">
        <v>49</v>
      </c>
      <c r="K45" s="28" t="s">
        <v>50</v>
      </c>
      <c r="L45" s="28" t="s">
        <v>51</v>
      </c>
      <c r="M45" s="28" t="s">
        <v>52</v>
      </c>
      <c r="N45" s="28" t="s">
        <v>53</v>
      </c>
      <c r="O45" s="28" t="s">
        <v>54</v>
      </c>
      <c r="P45" s="28" t="s">
        <v>55</v>
      </c>
      <c r="Q45" s="28" t="s">
        <v>56</v>
      </c>
      <c r="R45" s="28" t="s">
        <v>57</v>
      </c>
      <c r="S45" s="28" t="s">
        <v>58</v>
      </c>
      <c r="T45" s="28" t="s">
        <v>59</v>
      </c>
      <c r="U45" s="28" t="s">
        <v>60</v>
      </c>
      <c r="V45" s="28" t="s">
        <v>61</v>
      </c>
      <c r="W45" s="28" t="s">
        <v>62</v>
      </c>
      <c r="X45" s="28" t="s">
        <v>63</v>
      </c>
      <c r="Y45" s="28" t="s">
        <v>64</v>
      </c>
      <c r="Z45" s="28" t="s">
        <v>65</v>
      </c>
      <c r="AA45" s="28" t="s">
        <v>66</v>
      </c>
      <c r="AB45" s="28" t="s">
        <v>67</v>
      </c>
      <c r="AC45" s="28" t="s">
        <v>41</v>
      </c>
      <c r="AD45" s="2"/>
      <c r="AE45" s="2"/>
      <c r="AF45" s="2"/>
      <c r="AG45" s="2"/>
      <c r="AH45" s="2"/>
      <c r="AI45" s="2"/>
      <c r="AJ45" s="2"/>
      <c r="AK45" s="2"/>
      <c r="AL45" s="2"/>
      <c r="AM45" s="2"/>
      <c r="AN45" s="2"/>
      <c r="AO45" s="2"/>
      <c r="AP45" s="2"/>
      <c r="AQ45" s="2"/>
    </row>
    <row r="46" spans="1:43" ht="20" customHeight="1" x14ac:dyDescent="0.2">
      <c r="A46" s="1"/>
      <c r="B46" s="96" t="s">
        <v>277</v>
      </c>
      <c r="C46" s="46" t="s">
        <v>278</v>
      </c>
      <c r="D46" s="92" t="s">
        <v>279</v>
      </c>
      <c r="E46" s="1"/>
      <c r="F46" s="1"/>
      <c r="G46" s="1"/>
      <c r="H46" s="1"/>
      <c r="I46" s="1"/>
      <c r="J46" s="1"/>
      <c r="K46" s="1"/>
      <c r="L46" s="1"/>
      <c r="M46" s="1"/>
      <c r="N46" s="1"/>
      <c r="O46" s="1"/>
      <c r="P46" s="1"/>
      <c r="Q46" s="1"/>
      <c r="R46" s="1"/>
      <c r="S46" s="1"/>
      <c r="T46" s="1"/>
      <c r="U46" s="1"/>
      <c r="V46" s="1"/>
      <c r="W46" s="1"/>
      <c r="X46" s="1"/>
      <c r="Y46" s="1"/>
      <c r="Z46" s="1"/>
      <c r="AA46" s="1"/>
      <c r="AB46" s="1"/>
      <c r="AC46" s="1"/>
      <c r="AD46" s="2"/>
      <c r="AE46" s="2"/>
      <c r="AF46" s="2"/>
      <c r="AG46" s="2"/>
      <c r="AH46" s="2"/>
      <c r="AI46" s="2"/>
      <c r="AJ46" s="2"/>
      <c r="AK46" s="2"/>
      <c r="AL46" s="2"/>
      <c r="AM46" s="2"/>
      <c r="AN46" s="2"/>
      <c r="AO46" s="2"/>
      <c r="AP46" s="2"/>
      <c r="AQ46" s="2"/>
    </row>
    <row r="47" spans="1:43" x14ac:dyDescent="0.2">
      <c r="A47" s="1"/>
      <c r="B47" s="97" t="s">
        <v>280</v>
      </c>
      <c r="C47" s="49"/>
      <c r="D47" s="92" t="s">
        <v>281</v>
      </c>
      <c r="E47" s="1"/>
      <c r="F47" s="1"/>
      <c r="G47" s="1"/>
      <c r="H47" s="1"/>
      <c r="I47" s="1"/>
      <c r="J47" s="1"/>
      <c r="K47" s="1"/>
      <c r="L47" s="1"/>
      <c r="M47" s="1"/>
      <c r="N47" s="1"/>
      <c r="O47" s="1"/>
      <c r="P47" s="1"/>
      <c r="Q47" s="1"/>
      <c r="R47" s="1"/>
      <c r="S47" s="1"/>
      <c r="T47" s="1"/>
      <c r="U47" s="1"/>
      <c r="V47" s="1"/>
      <c r="W47" s="1"/>
      <c r="X47" s="1"/>
      <c r="Y47" s="1"/>
      <c r="Z47" s="1"/>
      <c r="AA47" s="1"/>
      <c r="AB47" s="1"/>
      <c r="AC47" s="1"/>
      <c r="AD47" s="2"/>
      <c r="AE47" s="2"/>
      <c r="AF47" s="2"/>
      <c r="AG47" s="2"/>
      <c r="AH47" s="2"/>
      <c r="AI47" s="2"/>
      <c r="AJ47" s="2"/>
      <c r="AK47" s="2"/>
      <c r="AL47" s="2"/>
      <c r="AM47" s="2"/>
      <c r="AN47" s="2"/>
      <c r="AO47" s="2"/>
      <c r="AP47" s="2"/>
      <c r="AQ47" s="2"/>
    </row>
    <row r="48" spans="1:43" ht="20" customHeight="1" x14ac:dyDescent="0.2">
      <c r="A48" s="1"/>
      <c r="B48" s="96" t="s">
        <v>282</v>
      </c>
      <c r="C48" s="1"/>
      <c r="D48" s="1"/>
      <c r="E48" s="47"/>
      <c r="F48" s="47"/>
      <c r="G48" s="47"/>
      <c r="H48" s="47"/>
      <c r="I48" s="47"/>
      <c r="J48" s="47"/>
      <c r="K48" s="47"/>
      <c r="L48" s="47"/>
      <c r="M48" s="47"/>
      <c r="N48" s="47"/>
      <c r="O48" s="47"/>
      <c r="P48" s="47"/>
      <c r="Q48" s="47"/>
      <c r="R48" s="47"/>
      <c r="S48" s="47"/>
      <c r="T48" s="47"/>
      <c r="U48" s="47"/>
      <c r="V48" s="47"/>
      <c r="W48" s="47"/>
      <c r="X48" s="47"/>
      <c r="Y48" s="47"/>
      <c r="Z48" s="47"/>
      <c r="AA48" s="47"/>
      <c r="AB48" s="47"/>
      <c r="AC48" s="29">
        <f>SUM(E48:P48)</f>
        <v>0</v>
      </c>
      <c r="AD48" s="2"/>
      <c r="AE48" s="2"/>
      <c r="AF48" s="2"/>
      <c r="AG48" s="2"/>
      <c r="AH48" s="2"/>
      <c r="AI48" s="2"/>
      <c r="AJ48" s="2"/>
      <c r="AK48" s="2"/>
      <c r="AL48" s="2"/>
      <c r="AM48" s="2"/>
      <c r="AN48" s="2"/>
      <c r="AO48" s="2"/>
      <c r="AP48" s="2"/>
      <c r="AQ48" s="2"/>
    </row>
    <row r="49" spans="1:43" x14ac:dyDescent="0.2">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2"/>
      <c r="AE49" s="2"/>
      <c r="AF49" s="2"/>
      <c r="AG49" s="2"/>
      <c r="AH49" s="2"/>
      <c r="AI49" s="2"/>
      <c r="AJ49" s="2"/>
      <c r="AK49" s="2"/>
      <c r="AL49" s="2"/>
      <c r="AM49" s="2"/>
      <c r="AN49" s="2"/>
      <c r="AO49" s="2"/>
      <c r="AP49" s="2"/>
      <c r="AQ49" s="2"/>
    </row>
    <row r="50" spans="1:43" ht="20" customHeight="1" x14ac:dyDescent="0.2">
      <c r="A50" s="1"/>
      <c r="B50" s="96" t="s">
        <v>283</v>
      </c>
      <c r="C50" s="46" t="s">
        <v>284</v>
      </c>
      <c r="D50" s="92" t="s">
        <v>279</v>
      </c>
      <c r="E50" s="1"/>
      <c r="F50" s="1"/>
      <c r="G50" s="1"/>
      <c r="H50" s="1"/>
      <c r="I50" s="1"/>
      <c r="J50" s="1"/>
      <c r="K50" s="1"/>
      <c r="L50" s="1"/>
      <c r="M50" s="1"/>
      <c r="N50" s="1"/>
      <c r="O50" s="1"/>
      <c r="P50" s="1"/>
      <c r="Q50" s="1"/>
      <c r="R50" s="1"/>
      <c r="S50" s="1"/>
      <c r="T50" s="1"/>
      <c r="U50" s="1"/>
      <c r="V50" s="1"/>
      <c r="W50" s="1"/>
      <c r="X50" s="1"/>
      <c r="Y50" s="1"/>
      <c r="Z50" s="1"/>
      <c r="AA50" s="1"/>
      <c r="AB50" s="1"/>
      <c r="AC50" s="1"/>
      <c r="AD50" s="2"/>
      <c r="AE50" s="2"/>
      <c r="AF50" s="2"/>
      <c r="AG50" s="2"/>
      <c r="AH50" s="2"/>
      <c r="AI50" s="2"/>
      <c r="AJ50" s="2"/>
      <c r="AK50" s="2"/>
      <c r="AL50" s="2"/>
      <c r="AM50" s="2"/>
      <c r="AN50" s="2"/>
      <c r="AO50" s="2"/>
      <c r="AP50" s="2"/>
      <c r="AQ50" s="2"/>
    </row>
    <row r="51" spans="1:43" x14ac:dyDescent="0.2">
      <c r="A51" s="1"/>
      <c r="B51" s="97" t="s">
        <v>280</v>
      </c>
      <c r="C51" s="49"/>
      <c r="D51" s="92" t="s">
        <v>281</v>
      </c>
      <c r="E51" s="1"/>
      <c r="F51" s="1"/>
      <c r="G51" s="1"/>
      <c r="H51" s="1"/>
      <c r="I51" s="1"/>
      <c r="J51" s="1"/>
      <c r="K51" s="1"/>
      <c r="L51" s="1"/>
      <c r="M51" s="1"/>
      <c r="N51" s="1"/>
      <c r="O51" s="1"/>
      <c r="P51" s="1"/>
      <c r="Q51" s="1"/>
      <c r="R51" s="1"/>
      <c r="S51" s="1"/>
      <c r="T51" s="1"/>
      <c r="U51" s="1"/>
      <c r="V51" s="1"/>
      <c r="W51" s="1"/>
      <c r="X51" s="1"/>
      <c r="Y51" s="1"/>
      <c r="Z51" s="1"/>
      <c r="AA51" s="1"/>
      <c r="AB51" s="1"/>
      <c r="AC51" s="1"/>
      <c r="AD51" s="2"/>
      <c r="AE51" s="2"/>
      <c r="AF51" s="2"/>
      <c r="AG51" s="2"/>
      <c r="AH51" s="2"/>
      <c r="AI51" s="2"/>
      <c r="AJ51" s="2"/>
      <c r="AK51" s="2"/>
      <c r="AL51" s="2"/>
      <c r="AM51" s="2"/>
      <c r="AN51" s="2"/>
      <c r="AO51" s="2"/>
      <c r="AP51" s="2"/>
      <c r="AQ51" s="2"/>
    </row>
    <row r="52" spans="1:43" ht="20" customHeight="1" x14ac:dyDescent="0.2">
      <c r="A52" s="1"/>
      <c r="B52" s="96" t="s">
        <v>282</v>
      </c>
      <c r="C52" s="1"/>
      <c r="D52" s="1"/>
      <c r="E52" s="47"/>
      <c r="F52" s="47"/>
      <c r="G52" s="47"/>
      <c r="H52" s="47"/>
      <c r="I52" s="47"/>
      <c r="J52" s="47"/>
      <c r="K52" s="47"/>
      <c r="L52" s="47"/>
      <c r="M52" s="47"/>
      <c r="N52" s="47"/>
      <c r="O52" s="47"/>
      <c r="P52" s="47"/>
      <c r="Q52" s="47"/>
      <c r="R52" s="47"/>
      <c r="S52" s="47"/>
      <c r="T52" s="47"/>
      <c r="U52" s="47"/>
      <c r="V52" s="47"/>
      <c r="W52" s="47"/>
      <c r="X52" s="47"/>
      <c r="Y52" s="47"/>
      <c r="Z52" s="47"/>
      <c r="AA52" s="47"/>
      <c r="AB52" s="47"/>
      <c r="AC52" s="29">
        <f>SUM(E52:P52)</f>
        <v>0</v>
      </c>
      <c r="AD52" s="2"/>
      <c r="AE52" s="2"/>
      <c r="AF52" s="2"/>
      <c r="AG52" s="2"/>
      <c r="AH52" s="2"/>
      <c r="AI52" s="2"/>
      <c r="AJ52" s="2"/>
      <c r="AK52" s="2"/>
      <c r="AL52" s="2"/>
      <c r="AM52" s="2"/>
      <c r="AN52" s="2"/>
      <c r="AO52" s="2"/>
      <c r="AP52" s="2"/>
      <c r="AQ52" s="2"/>
    </row>
    <row r="53" spans="1:43" x14ac:dyDescent="0.2">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2"/>
      <c r="AE53" s="2"/>
      <c r="AF53" s="2"/>
      <c r="AG53" s="2"/>
      <c r="AH53" s="2"/>
      <c r="AI53" s="2"/>
      <c r="AJ53" s="2"/>
      <c r="AK53" s="2"/>
      <c r="AL53" s="2"/>
      <c r="AM53" s="2"/>
      <c r="AN53" s="2"/>
      <c r="AO53" s="2"/>
      <c r="AP53" s="2"/>
      <c r="AQ53" s="2"/>
    </row>
    <row r="54" spans="1:43" ht="20" customHeight="1" x14ac:dyDescent="0.2">
      <c r="A54" s="1"/>
      <c r="B54" s="96" t="s">
        <v>285</v>
      </c>
      <c r="C54" s="46" t="s">
        <v>286</v>
      </c>
      <c r="D54" s="92" t="s">
        <v>279</v>
      </c>
      <c r="E54" s="1"/>
      <c r="F54" s="1"/>
      <c r="G54" s="1"/>
      <c r="H54" s="1"/>
      <c r="I54" s="1"/>
      <c r="J54" s="1"/>
      <c r="K54" s="1"/>
      <c r="L54" s="1"/>
      <c r="M54" s="1"/>
      <c r="N54" s="1"/>
      <c r="O54" s="1"/>
      <c r="P54" s="1"/>
      <c r="Q54" s="1"/>
      <c r="R54" s="1"/>
      <c r="S54" s="1"/>
      <c r="T54" s="1"/>
      <c r="U54" s="1"/>
      <c r="V54" s="1"/>
      <c r="W54" s="1"/>
      <c r="X54" s="1"/>
      <c r="Y54" s="1"/>
      <c r="Z54" s="1"/>
      <c r="AA54" s="1"/>
      <c r="AB54" s="1"/>
      <c r="AC54" s="1"/>
      <c r="AD54" s="2"/>
      <c r="AE54" s="2"/>
      <c r="AF54" s="2"/>
      <c r="AG54" s="2"/>
      <c r="AH54" s="2"/>
      <c r="AI54" s="2"/>
      <c r="AJ54" s="2"/>
      <c r="AK54" s="2"/>
      <c r="AL54" s="2"/>
      <c r="AM54" s="2"/>
      <c r="AN54" s="2"/>
      <c r="AO54" s="2"/>
      <c r="AP54" s="2"/>
      <c r="AQ54" s="2"/>
    </row>
    <row r="55" spans="1:43" x14ac:dyDescent="0.2">
      <c r="A55" s="1"/>
      <c r="B55" s="97" t="s">
        <v>280</v>
      </c>
      <c r="C55" s="49"/>
      <c r="D55" s="92" t="s">
        <v>281</v>
      </c>
      <c r="E55" s="1"/>
      <c r="F55" s="1"/>
      <c r="G55" s="1"/>
      <c r="H55" s="1"/>
      <c r="I55" s="1"/>
      <c r="J55" s="1"/>
      <c r="K55" s="1"/>
      <c r="L55" s="1"/>
      <c r="M55" s="1"/>
      <c r="N55" s="1"/>
      <c r="O55" s="1"/>
      <c r="P55" s="1"/>
      <c r="Q55" s="1"/>
      <c r="R55" s="1"/>
      <c r="S55" s="1"/>
      <c r="T55" s="1"/>
      <c r="U55" s="1"/>
      <c r="V55" s="1"/>
      <c r="W55" s="1"/>
      <c r="X55" s="1"/>
      <c r="Y55" s="1"/>
      <c r="Z55" s="1"/>
      <c r="AA55" s="1"/>
      <c r="AB55" s="1"/>
      <c r="AC55" s="1"/>
      <c r="AD55" s="2"/>
      <c r="AE55" s="2"/>
      <c r="AF55" s="2"/>
      <c r="AG55" s="2"/>
      <c r="AH55" s="2"/>
      <c r="AI55" s="2"/>
      <c r="AJ55" s="2"/>
      <c r="AK55" s="2"/>
      <c r="AL55" s="2"/>
      <c r="AM55" s="2"/>
      <c r="AN55" s="2"/>
      <c r="AO55" s="2"/>
      <c r="AP55" s="2"/>
      <c r="AQ55" s="2"/>
    </row>
    <row r="56" spans="1:43" ht="20" customHeight="1" x14ac:dyDescent="0.2">
      <c r="A56" s="1"/>
      <c r="B56" s="96" t="s">
        <v>282</v>
      </c>
      <c r="C56" s="1"/>
      <c r="D56" s="1"/>
      <c r="E56" s="47"/>
      <c r="F56" s="47"/>
      <c r="G56" s="47"/>
      <c r="H56" s="47"/>
      <c r="I56" s="47"/>
      <c r="J56" s="47"/>
      <c r="K56" s="47"/>
      <c r="L56" s="47"/>
      <c r="M56" s="47"/>
      <c r="N56" s="47"/>
      <c r="O56" s="47"/>
      <c r="P56" s="47"/>
      <c r="Q56" s="47"/>
      <c r="R56" s="47"/>
      <c r="S56" s="47"/>
      <c r="T56" s="47"/>
      <c r="U56" s="47"/>
      <c r="V56" s="47"/>
      <c r="W56" s="47"/>
      <c r="X56" s="47"/>
      <c r="Y56" s="47"/>
      <c r="Z56" s="47"/>
      <c r="AA56" s="47"/>
      <c r="AB56" s="47"/>
      <c r="AC56" s="29">
        <f>SUM(E56:P56)</f>
        <v>0</v>
      </c>
      <c r="AD56" s="2"/>
      <c r="AE56" s="2"/>
      <c r="AF56" s="2"/>
      <c r="AG56" s="2"/>
      <c r="AH56" s="2"/>
      <c r="AI56" s="2"/>
      <c r="AJ56" s="2"/>
      <c r="AK56" s="2"/>
      <c r="AL56" s="2"/>
      <c r="AM56" s="2"/>
      <c r="AN56" s="2"/>
      <c r="AO56" s="2"/>
      <c r="AP56" s="2"/>
      <c r="AQ56" s="2"/>
    </row>
    <row r="57" spans="1:43" x14ac:dyDescent="0.2">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2"/>
      <c r="AE57" s="2"/>
      <c r="AF57" s="2"/>
      <c r="AG57" s="2"/>
      <c r="AH57" s="2"/>
      <c r="AI57" s="2"/>
      <c r="AJ57" s="2"/>
      <c r="AK57" s="2"/>
      <c r="AL57" s="2"/>
      <c r="AM57" s="2"/>
      <c r="AN57" s="2"/>
      <c r="AO57" s="2"/>
      <c r="AP57" s="2"/>
      <c r="AQ57" s="2"/>
    </row>
    <row r="58" spans="1:43" ht="20" customHeight="1" x14ac:dyDescent="0.2">
      <c r="A58" s="1"/>
      <c r="B58" s="96" t="s">
        <v>287</v>
      </c>
      <c r="C58" s="46" t="s">
        <v>288</v>
      </c>
      <c r="D58" s="92" t="s">
        <v>279</v>
      </c>
      <c r="E58" s="1"/>
      <c r="F58" s="1"/>
      <c r="G58" s="1"/>
      <c r="H58" s="1"/>
      <c r="I58" s="1"/>
      <c r="J58" s="1"/>
      <c r="K58" s="1"/>
      <c r="L58" s="1"/>
      <c r="M58" s="1"/>
      <c r="N58" s="1"/>
      <c r="O58" s="1"/>
      <c r="P58" s="1"/>
      <c r="Q58" s="1"/>
      <c r="R58" s="1"/>
      <c r="S58" s="1"/>
      <c r="T58" s="1"/>
      <c r="U58" s="1"/>
      <c r="V58" s="1"/>
      <c r="W58" s="1"/>
      <c r="X58" s="1"/>
      <c r="Y58" s="1"/>
      <c r="Z58" s="1"/>
      <c r="AA58" s="1"/>
      <c r="AB58" s="1"/>
      <c r="AC58" s="1"/>
      <c r="AD58" s="2"/>
      <c r="AE58" s="2"/>
      <c r="AF58" s="2"/>
      <c r="AG58" s="2"/>
      <c r="AH58" s="2"/>
      <c r="AI58" s="2"/>
      <c r="AJ58" s="2"/>
      <c r="AK58" s="2"/>
      <c r="AL58" s="2"/>
      <c r="AM58" s="2"/>
      <c r="AN58" s="2"/>
      <c r="AO58" s="2"/>
      <c r="AP58" s="2"/>
      <c r="AQ58" s="2"/>
    </row>
    <row r="59" spans="1:43" x14ac:dyDescent="0.2">
      <c r="A59" s="1"/>
      <c r="B59" s="97" t="s">
        <v>280</v>
      </c>
      <c r="C59" s="49"/>
      <c r="D59" s="92" t="s">
        <v>281</v>
      </c>
      <c r="E59" s="1"/>
      <c r="F59" s="1"/>
      <c r="G59" s="1"/>
      <c r="H59" s="1"/>
      <c r="I59" s="1"/>
      <c r="J59" s="1"/>
      <c r="K59" s="1"/>
      <c r="L59" s="1"/>
      <c r="M59" s="1"/>
      <c r="N59" s="1"/>
      <c r="O59" s="1"/>
      <c r="P59" s="1"/>
      <c r="Q59" s="1"/>
      <c r="R59" s="1"/>
      <c r="S59" s="1"/>
      <c r="T59" s="1"/>
      <c r="U59" s="1"/>
      <c r="V59" s="1"/>
      <c r="W59" s="1"/>
      <c r="X59" s="1"/>
      <c r="Y59" s="1"/>
      <c r="Z59" s="1"/>
      <c r="AA59" s="1"/>
      <c r="AB59" s="1"/>
      <c r="AC59" s="1"/>
      <c r="AD59" s="2"/>
      <c r="AE59" s="2"/>
      <c r="AF59" s="2"/>
      <c r="AG59" s="2"/>
      <c r="AH59" s="2"/>
      <c r="AI59" s="2"/>
      <c r="AJ59" s="2"/>
      <c r="AK59" s="2"/>
      <c r="AL59" s="2"/>
      <c r="AM59" s="2"/>
      <c r="AN59" s="2"/>
      <c r="AO59" s="2"/>
      <c r="AP59" s="2"/>
      <c r="AQ59" s="2"/>
    </row>
    <row r="60" spans="1:43" ht="20" customHeight="1" x14ac:dyDescent="0.2">
      <c r="A60" s="1"/>
      <c r="B60" s="96" t="s">
        <v>282</v>
      </c>
      <c r="C60" s="1"/>
      <c r="D60" s="1"/>
      <c r="E60" s="47"/>
      <c r="F60" s="47"/>
      <c r="G60" s="47"/>
      <c r="H60" s="47"/>
      <c r="I60" s="47"/>
      <c r="J60" s="47"/>
      <c r="K60" s="47"/>
      <c r="L60" s="47"/>
      <c r="M60" s="47"/>
      <c r="N60" s="47"/>
      <c r="O60" s="47"/>
      <c r="P60" s="47"/>
      <c r="Q60" s="47"/>
      <c r="R60" s="47"/>
      <c r="S60" s="47"/>
      <c r="T60" s="47"/>
      <c r="U60" s="47"/>
      <c r="V60" s="47"/>
      <c r="W60" s="47"/>
      <c r="X60" s="47"/>
      <c r="Y60" s="47"/>
      <c r="Z60" s="47"/>
      <c r="AA60" s="47"/>
      <c r="AB60" s="47"/>
      <c r="AC60" s="29">
        <f>SUM(E60:P60)</f>
        <v>0</v>
      </c>
      <c r="AD60" s="2"/>
      <c r="AE60" s="2"/>
      <c r="AF60" s="2"/>
      <c r="AG60" s="2"/>
      <c r="AH60" s="2"/>
      <c r="AI60" s="2"/>
      <c r="AJ60" s="2"/>
      <c r="AK60" s="2"/>
      <c r="AL60" s="2"/>
      <c r="AM60" s="2"/>
      <c r="AN60" s="2"/>
      <c r="AO60" s="2"/>
      <c r="AP60" s="2"/>
      <c r="AQ60" s="2"/>
    </row>
    <row r="61" spans="1:43" x14ac:dyDescent="0.2">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2"/>
      <c r="AE61" s="2"/>
      <c r="AF61" s="2"/>
      <c r="AG61" s="2"/>
      <c r="AH61" s="2"/>
      <c r="AI61" s="2"/>
      <c r="AJ61" s="2"/>
      <c r="AK61" s="2"/>
      <c r="AL61" s="2"/>
      <c r="AM61" s="2"/>
      <c r="AN61" s="2"/>
      <c r="AO61" s="2"/>
      <c r="AP61" s="2"/>
      <c r="AQ61" s="2"/>
    </row>
    <row r="62" spans="1:43" ht="20" customHeight="1" x14ac:dyDescent="0.2">
      <c r="A62" s="1"/>
      <c r="B62" s="96" t="s">
        <v>289</v>
      </c>
      <c r="C62" s="46" t="s">
        <v>290</v>
      </c>
      <c r="D62" s="92" t="s">
        <v>279</v>
      </c>
      <c r="E62" s="1"/>
      <c r="F62" s="1"/>
      <c r="G62" s="1"/>
      <c r="H62" s="1"/>
      <c r="I62" s="1"/>
      <c r="J62" s="1"/>
      <c r="K62" s="1"/>
      <c r="L62" s="1"/>
      <c r="M62" s="1"/>
      <c r="N62" s="1"/>
      <c r="O62" s="1"/>
      <c r="P62" s="1"/>
      <c r="Q62" s="1"/>
      <c r="R62" s="1"/>
      <c r="S62" s="1"/>
      <c r="T62" s="1"/>
      <c r="U62" s="1"/>
      <c r="V62" s="1"/>
      <c r="W62" s="1"/>
      <c r="X62" s="1"/>
      <c r="Y62" s="1"/>
      <c r="Z62" s="1"/>
      <c r="AA62" s="1"/>
      <c r="AB62" s="1"/>
      <c r="AC62" s="1"/>
      <c r="AD62" s="2"/>
      <c r="AE62" s="2"/>
      <c r="AF62" s="2"/>
      <c r="AG62" s="2"/>
      <c r="AH62" s="2"/>
      <c r="AI62" s="2"/>
      <c r="AJ62" s="2"/>
      <c r="AK62" s="2"/>
      <c r="AL62" s="2"/>
      <c r="AM62" s="2"/>
      <c r="AN62" s="2"/>
      <c r="AO62" s="2"/>
      <c r="AP62" s="2"/>
      <c r="AQ62" s="2"/>
    </row>
    <row r="63" spans="1:43" x14ac:dyDescent="0.2">
      <c r="A63" s="1"/>
      <c r="B63" s="97" t="s">
        <v>280</v>
      </c>
      <c r="C63" s="49"/>
      <c r="D63" s="92" t="s">
        <v>281</v>
      </c>
      <c r="E63" s="1"/>
      <c r="F63" s="1"/>
      <c r="G63" s="1"/>
      <c r="H63" s="1"/>
      <c r="I63" s="1"/>
      <c r="J63" s="1"/>
      <c r="K63" s="1"/>
      <c r="L63" s="1"/>
      <c r="M63" s="1"/>
      <c r="N63" s="1"/>
      <c r="O63" s="1"/>
      <c r="P63" s="1"/>
      <c r="Q63" s="1"/>
      <c r="R63" s="1"/>
      <c r="S63" s="1"/>
      <c r="T63" s="1"/>
      <c r="U63" s="1"/>
      <c r="V63" s="1"/>
      <c r="W63" s="1"/>
      <c r="X63" s="1"/>
      <c r="Y63" s="1"/>
      <c r="Z63" s="1"/>
      <c r="AA63" s="1"/>
      <c r="AB63" s="1"/>
      <c r="AC63" s="1"/>
      <c r="AD63" s="2"/>
      <c r="AE63" s="2"/>
      <c r="AF63" s="2"/>
      <c r="AG63" s="2"/>
      <c r="AH63" s="2"/>
      <c r="AI63" s="2"/>
      <c r="AJ63" s="2"/>
      <c r="AK63" s="2"/>
      <c r="AL63" s="2"/>
      <c r="AM63" s="2"/>
      <c r="AN63" s="2"/>
      <c r="AO63" s="2"/>
      <c r="AP63" s="2"/>
      <c r="AQ63" s="2"/>
    </row>
    <row r="64" spans="1:43" ht="20" customHeight="1" x14ac:dyDescent="0.2">
      <c r="A64" s="1"/>
      <c r="B64" s="96" t="s">
        <v>282</v>
      </c>
      <c r="C64" s="1"/>
      <c r="D64" s="1"/>
      <c r="E64" s="47"/>
      <c r="F64" s="47"/>
      <c r="G64" s="47"/>
      <c r="H64" s="47"/>
      <c r="I64" s="47"/>
      <c r="J64" s="47"/>
      <c r="K64" s="47"/>
      <c r="L64" s="47"/>
      <c r="M64" s="47"/>
      <c r="N64" s="47"/>
      <c r="O64" s="47"/>
      <c r="P64" s="47"/>
      <c r="Q64" s="47"/>
      <c r="R64" s="47"/>
      <c r="S64" s="47"/>
      <c r="T64" s="47"/>
      <c r="U64" s="47"/>
      <c r="V64" s="47"/>
      <c r="W64" s="47"/>
      <c r="X64" s="47"/>
      <c r="Y64" s="47"/>
      <c r="Z64" s="47"/>
      <c r="AA64" s="47"/>
      <c r="AB64" s="47"/>
      <c r="AC64" s="29">
        <f>SUM(E64:P64)</f>
        <v>0</v>
      </c>
      <c r="AD64" s="2"/>
      <c r="AE64" s="2"/>
      <c r="AF64" s="2"/>
      <c r="AG64" s="2"/>
      <c r="AH64" s="2"/>
      <c r="AI64" s="2"/>
      <c r="AJ64" s="2"/>
      <c r="AK64" s="2"/>
      <c r="AL64" s="2"/>
      <c r="AM64" s="2"/>
      <c r="AN64" s="2"/>
      <c r="AO64" s="2"/>
      <c r="AP64" s="2"/>
      <c r="AQ64" s="2"/>
    </row>
    <row r="65" spans="1:43" x14ac:dyDescent="0.2">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2"/>
      <c r="AE65" s="2"/>
      <c r="AF65" s="2"/>
      <c r="AG65" s="2"/>
      <c r="AH65" s="2"/>
      <c r="AI65" s="2"/>
      <c r="AJ65" s="2"/>
      <c r="AK65" s="2"/>
      <c r="AL65" s="2"/>
      <c r="AM65" s="2"/>
      <c r="AN65" s="2"/>
      <c r="AO65" s="2"/>
      <c r="AP65" s="2"/>
      <c r="AQ65" s="2"/>
    </row>
    <row r="66" spans="1:43" ht="22" customHeight="1" x14ac:dyDescent="0.2">
      <c r="A66" s="1"/>
      <c r="B66" s="19" t="s">
        <v>291</v>
      </c>
      <c r="C66" s="15" t="s">
        <v>292</v>
      </c>
      <c r="D66" s="6"/>
      <c r="E66" s="6"/>
      <c r="F66" s="6"/>
      <c r="G66" s="6"/>
      <c r="H66" s="94"/>
      <c r="I66" s="94"/>
      <c r="J66" s="94"/>
      <c r="K66" s="94"/>
      <c r="L66" s="94"/>
      <c r="M66" s="94"/>
      <c r="N66" s="94"/>
      <c r="O66" s="94"/>
      <c r="P66" s="94"/>
      <c r="Q66" s="94"/>
      <c r="R66" s="94"/>
      <c r="S66" s="94"/>
      <c r="T66" s="94"/>
      <c r="U66" s="94"/>
      <c r="V66" s="94"/>
      <c r="W66" s="94"/>
      <c r="X66" s="94"/>
      <c r="Y66" s="94"/>
      <c r="Z66" s="94"/>
      <c r="AA66" s="94"/>
      <c r="AB66" s="94"/>
      <c r="AC66" s="95"/>
      <c r="AD66" s="2"/>
      <c r="AE66" s="2"/>
      <c r="AF66" s="2"/>
      <c r="AG66" s="2"/>
      <c r="AH66" s="2"/>
      <c r="AI66" s="2"/>
      <c r="AJ66" s="2"/>
      <c r="AK66" s="2"/>
      <c r="AL66" s="2"/>
      <c r="AM66" s="2"/>
      <c r="AN66" s="2"/>
      <c r="AO66" s="2"/>
      <c r="AP66" s="2"/>
      <c r="AQ66" s="2"/>
    </row>
    <row r="67" spans="1:43" ht="22" customHeight="1" x14ac:dyDescent="0.2">
      <c r="A67" s="1"/>
      <c r="B67" s="27"/>
      <c r="C67" s="1"/>
      <c r="D67" s="27" t="s">
        <v>276</v>
      </c>
      <c r="E67" s="28" t="s">
        <v>44</v>
      </c>
      <c r="F67" s="28" t="s">
        <v>45</v>
      </c>
      <c r="G67" s="28" t="s">
        <v>46</v>
      </c>
      <c r="H67" s="28" t="s">
        <v>47</v>
      </c>
      <c r="I67" s="28" t="s">
        <v>48</v>
      </c>
      <c r="J67" s="28" t="s">
        <v>49</v>
      </c>
      <c r="K67" s="28" t="s">
        <v>50</v>
      </c>
      <c r="L67" s="28" t="s">
        <v>51</v>
      </c>
      <c r="M67" s="28" t="s">
        <v>52</v>
      </c>
      <c r="N67" s="28" t="s">
        <v>53</v>
      </c>
      <c r="O67" s="28" t="s">
        <v>54</v>
      </c>
      <c r="P67" s="28" t="s">
        <v>55</v>
      </c>
      <c r="Q67" s="28" t="s">
        <v>56</v>
      </c>
      <c r="R67" s="28" t="s">
        <v>57</v>
      </c>
      <c r="S67" s="28" t="s">
        <v>58</v>
      </c>
      <c r="T67" s="28" t="s">
        <v>59</v>
      </c>
      <c r="U67" s="28" t="s">
        <v>60</v>
      </c>
      <c r="V67" s="28" t="s">
        <v>61</v>
      </c>
      <c r="W67" s="28" t="s">
        <v>62</v>
      </c>
      <c r="X67" s="28" t="s">
        <v>63</v>
      </c>
      <c r="Y67" s="28" t="s">
        <v>64</v>
      </c>
      <c r="Z67" s="28" t="s">
        <v>65</v>
      </c>
      <c r="AA67" s="28" t="s">
        <v>66</v>
      </c>
      <c r="AB67" s="28" t="s">
        <v>67</v>
      </c>
      <c r="AC67" s="28" t="s">
        <v>41</v>
      </c>
      <c r="AD67" s="2"/>
      <c r="AE67" s="2"/>
      <c r="AF67" s="2"/>
      <c r="AG67" s="2"/>
      <c r="AH67" s="2"/>
      <c r="AI67" s="2"/>
      <c r="AJ67" s="2"/>
      <c r="AK67" s="2"/>
      <c r="AL67" s="2"/>
      <c r="AM67" s="2"/>
      <c r="AN67" s="2"/>
      <c r="AO67" s="2"/>
      <c r="AP67" s="2"/>
      <c r="AQ67" s="2"/>
    </row>
    <row r="68" spans="1:43" ht="20" customHeight="1" x14ac:dyDescent="0.2">
      <c r="A68" s="1"/>
      <c r="B68" s="96" t="s">
        <v>293</v>
      </c>
      <c r="C68" s="1"/>
      <c r="D68" s="92" t="s">
        <v>294</v>
      </c>
      <c r="E68" s="47"/>
      <c r="F68" s="47"/>
      <c r="G68" s="47"/>
      <c r="H68" s="47"/>
      <c r="I68" s="47"/>
      <c r="J68" s="47"/>
      <c r="K68" s="47"/>
      <c r="L68" s="47"/>
      <c r="M68" s="47"/>
      <c r="N68" s="47"/>
      <c r="O68" s="47"/>
      <c r="P68" s="47"/>
      <c r="Q68" s="47"/>
      <c r="R68" s="47"/>
      <c r="S68" s="47"/>
      <c r="T68" s="47"/>
      <c r="U68" s="47"/>
      <c r="V68" s="47"/>
      <c r="W68" s="47"/>
      <c r="X68" s="47"/>
      <c r="Y68" s="47"/>
      <c r="Z68" s="47"/>
      <c r="AA68" s="47"/>
      <c r="AB68" s="47"/>
      <c r="AC68" s="29">
        <f>SUM(E68:P68)</f>
        <v>0</v>
      </c>
      <c r="AD68" s="2"/>
      <c r="AE68" s="2"/>
      <c r="AF68" s="2"/>
      <c r="AG68" s="2"/>
      <c r="AH68" s="2"/>
      <c r="AI68" s="2"/>
      <c r="AJ68" s="2"/>
      <c r="AK68" s="2"/>
      <c r="AL68" s="2"/>
      <c r="AM68" s="2"/>
      <c r="AN68" s="2"/>
      <c r="AO68" s="2"/>
      <c r="AP68" s="2"/>
      <c r="AQ68" s="2"/>
    </row>
    <row r="69" spans="1:43" ht="20" customHeight="1" x14ac:dyDescent="0.2">
      <c r="A69" s="1"/>
      <c r="B69" s="96" t="s">
        <v>295</v>
      </c>
      <c r="C69" s="1"/>
      <c r="D69" s="92" t="s">
        <v>296</v>
      </c>
      <c r="E69" s="47"/>
      <c r="F69" s="47"/>
      <c r="G69" s="47"/>
      <c r="H69" s="47"/>
      <c r="I69" s="47"/>
      <c r="J69" s="47"/>
      <c r="K69" s="47"/>
      <c r="L69" s="47"/>
      <c r="M69" s="47"/>
      <c r="N69" s="47"/>
      <c r="O69" s="47"/>
      <c r="P69" s="47"/>
      <c r="Q69" s="47"/>
      <c r="R69" s="47"/>
      <c r="S69" s="47"/>
      <c r="T69" s="47"/>
      <c r="U69" s="47"/>
      <c r="V69" s="47"/>
      <c r="W69" s="47"/>
      <c r="X69" s="47"/>
      <c r="Y69" s="47"/>
      <c r="Z69" s="47"/>
      <c r="AA69" s="47"/>
      <c r="AB69" s="47"/>
      <c r="AC69" s="29">
        <f>SUM(E69:P69)</f>
        <v>0</v>
      </c>
      <c r="AD69" s="2"/>
      <c r="AE69" s="2"/>
      <c r="AF69" s="2"/>
      <c r="AG69" s="2"/>
      <c r="AH69" s="2"/>
      <c r="AI69" s="2"/>
      <c r="AJ69" s="2"/>
      <c r="AK69" s="2"/>
      <c r="AL69" s="2"/>
      <c r="AM69" s="2"/>
      <c r="AN69" s="2"/>
      <c r="AO69" s="2"/>
      <c r="AP69" s="2"/>
      <c r="AQ69" s="2"/>
    </row>
    <row r="70" spans="1:43" ht="20" customHeight="1" x14ac:dyDescent="0.2">
      <c r="A70" s="1"/>
      <c r="B70" s="96" t="s">
        <v>297</v>
      </c>
      <c r="C70" s="1"/>
      <c r="D70" s="92" t="s">
        <v>298</v>
      </c>
      <c r="E70" s="47"/>
      <c r="F70" s="47"/>
      <c r="G70" s="47"/>
      <c r="H70" s="47"/>
      <c r="I70" s="47"/>
      <c r="J70" s="47"/>
      <c r="K70" s="47"/>
      <c r="L70" s="47"/>
      <c r="M70" s="47"/>
      <c r="N70" s="47"/>
      <c r="O70" s="47"/>
      <c r="P70" s="47"/>
      <c r="Q70" s="47"/>
      <c r="R70" s="47"/>
      <c r="S70" s="47"/>
      <c r="T70" s="47"/>
      <c r="U70" s="47"/>
      <c r="V70" s="47"/>
      <c r="W70" s="47"/>
      <c r="X70" s="47"/>
      <c r="Y70" s="47"/>
      <c r="Z70" s="47"/>
      <c r="AA70" s="47"/>
      <c r="AB70" s="47"/>
      <c r="AC70" s="29">
        <f>SUM(E70:P70)</f>
        <v>0</v>
      </c>
      <c r="AD70" s="2"/>
      <c r="AE70" s="2"/>
      <c r="AF70" s="2"/>
      <c r="AG70" s="2"/>
      <c r="AH70" s="2"/>
      <c r="AI70" s="2"/>
      <c r="AJ70" s="2"/>
      <c r="AK70" s="2"/>
      <c r="AL70" s="2"/>
      <c r="AM70" s="2"/>
      <c r="AN70" s="2"/>
      <c r="AO70" s="2"/>
      <c r="AP70" s="2"/>
      <c r="AQ70" s="2"/>
    </row>
    <row r="71" spans="1:43" ht="20" customHeight="1" x14ac:dyDescent="0.2">
      <c r="A71" s="1"/>
      <c r="B71" s="96" t="s">
        <v>299</v>
      </c>
      <c r="C71" s="1"/>
      <c r="D71" s="92" t="s">
        <v>300</v>
      </c>
      <c r="E71" s="47"/>
      <c r="F71" s="47"/>
      <c r="G71" s="47"/>
      <c r="H71" s="47"/>
      <c r="I71" s="47"/>
      <c r="J71" s="47"/>
      <c r="K71" s="47"/>
      <c r="L71" s="47"/>
      <c r="M71" s="47"/>
      <c r="N71" s="47"/>
      <c r="O71" s="47"/>
      <c r="P71" s="47"/>
      <c r="Q71" s="47"/>
      <c r="R71" s="47"/>
      <c r="S71" s="47"/>
      <c r="T71" s="47"/>
      <c r="U71" s="47"/>
      <c r="V71" s="47"/>
      <c r="W71" s="47"/>
      <c r="X71" s="47"/>
      <c r="Y71" s="47"/>
      <c r="Z71" s="47"/>
      <c r="AA71" s="47"/>
      <c r="AB71" s="47"/>
      <c r="AC71" s="29">
        <f>SUM(E71:P71)</f>
        <v>0</v>
      </c>
      <c r="AD71" s="2"/>
      <c r="AE71" s="2"/>
      <c r="AF71" s="2"/>
      <c r="AG71" s="2"/>
      <c r="AH71" s="2"/>
      <c r="AI71" s="2"/>
      <c r="AJ71" s="2"/>
      <c r="AK71" s="2"/>
      <c r="AL71" s="2"/>
      <c r="AM71" s="2"/>
      <c r="AN71" s="2"/>
      <c r="AO71" s="2"/>
      <c r="AP71" s="2"/>
      <c r="AQ71" s="2"/>
    </row>
    <row r="72" spans="1:43" x14ac:dyDescent="0.2">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2"/>
      <c r="AE72" s="2"/>
      <c r="AF72" s="2"/>
      <c r="AG72" s="2"/>
      <c r="AH72" s="2"/>
      <c r="AI72" s="2"/>
      <c r="AJ72" s="2"/>
      <c r="AK72" s="2"/>
      <c r="AL72" s="2"/>
      <c r="AM72" s="2"/>
      <c r="AN72" s="2"/>
      <c r="AO72" s="2"/>
      <c r="AP72" s="2"/>
      <c r="AQ72" s="2"/>
    </row>
    <row r="73" spans="1:43" ht="22" customHeight="1" x14ac:dyDescent="0.2">
      <c r="A73" s="1"/>
      <c r="B73" s="19" t="s">
        <v>301</v>
      </c>
      <c r="C73" s="15" t="s">
        <v>302</v>
      </c>
      <c r="D73" s="6"/>
      <c r="E73" s="6"/>
      <c r="F73" s="6"/>
      <c r="G73" s="6"/>
      <c r="H73" s="94"/>
      <c r="I73" s="94"/>
      <c r="J73" s="94"/>
      <c r="K73" s="94"/>
      <c r="L73" s="94"/>
      <c r="M73" s="94"/>
      <c r="N73" s="94"/>
      <c r="O73" s="94"/>
      <c r="P73" s="94"/>
      <c r="Q73" s="94"/>
      <c r="R73" s="94"/>
      <c r="S73" s="94"/>
      <c r="T73" s="94"/>
      <c r="U73" s="94"/>
      <c r="V73" s="94"/>
      <c r="W73" s="94"/>
      <c r="X73" s="94"/>
      <c r="Y73" s="94"/>
      <c r="Z73" s="94"/>
      <c r="AA73" s="94"/>
      <c r="AB73" s="94"/>
      <c r="AC73" s="95"/>
      <c r="AD73" s="2"/>
      <c r="AE73" s="2"/>
      <c r="AF73" s="2"/>
      <c r="AG73" s="2"/>
      <c r="AH73" s="2"/>
      <c r="AI73" s="2"/>
      <c r="AJ73" s="2"/>
      <c r="AK73" s="2"/>
      <c r="AL73" s="2"/>
      <c r="AM73" s="2"/>
      <c r="AN73" s="2"/>
      <c r="AO73" s="2"/>
      <c r="AP73" s="2"/>
      <c r="AQ73" s="2"/>
    </row>
    <row r="74" spans="1:43" ht="22" customHeight="1" x14ac:dyDescent="0.2">
      <c r="A74" s="1"/>
      <c r="B74" s="27"/>
      <c r="C74" s="1"/>
      <c r="D74" s="27" t="s">
        <v>276</v>
      </c>
      <c r="E74" s="28" t="s">
        <v>44</v>
      </c>
      <c r="F74" s="28" t="s">
        <v>45</v>
      </c>
      <c r="G74" s="28" t="s">
        <v>46</v>
      </c>
      <c r="H74" s="28" t="s">
        <v>47</v>
      </c>
      <c r="I74" s="28" t="s">
        <v>48</v>
      </c>
      <c r="J74" s="28" t="s">
        <v>49</v>
      </c>
      <c r="K74" s="28" t="s">
        <v>50</v>
      </c>
      <c r="L74" s="28" t="s">
        <v>51</v>
      </c>
      <c r="M74" s="28" t="s">
        <v>52</v>
      </c>
      <c r="N74" s="28" t="s">
        <v>53</v>
      </c>
      <c r="O74" s="28" t="s">
        <v>54</v>
      </c>
      <c r="P74" s="28" t="s">
        <v>55</v>
      </c>
      <c r="Q74" s="28" t="s">
        <v>56</v>
      </c>
      <c r="R74" s="28" t="s">
        <v>57</v>
      </c>
      <c r="S74" s="28" t="s">
        <v>58</v>
      </c>
      <c r="T74" s="28" t="s">
        <v>59</v>
      </c>
      <c r="U74" s="28" t="s">
        <v>60</v>
      </c>
      <c r="V74" s="28" t="s">
        <v>61</v>
      </c>
      <c r="W74" s="28" t="s">
        <v>62</v>
      </c>
      <c r="X74" s="28" t="s">
        <v>63</v>
      </c>
      <c r="Y74" s="28" t="s">
        <v>64</v>
      </c>
      <c r="Z74" s="28" t="s">
        <v>65</v>
      </c>
      <c r="AA74" s="28" t="s">
        <v>66</v>
      </c>
      <c r="AB74" s="28" t="s">
        <v>67</v>
      </c>
      <c r="AC74" s="28" t="s">
        <v>41</v>
      </c>
      <c r="AD74" s="2"/>
      <c r="AE74" s="2"/>
      <c r="AF74" s="2"/>
      <c r="AG74" s="2"/>
      <c r="AH74" s="2"/>
      <c r="AI74" s="2"/>
      <c r="AJ74" s="2"/>
      <c r="AK74" s="2"/>
      <c r="AL74" s="2"/>
      <c r="AM74" s="2"/>
      <c r="AN74" s="2"/>
      <c r="AO74" s="2"/>
      <c r="AP74" s="2"/>
      <c r="AQ74" s="2"/>
    </row>
    <row r="75" spans="1:43" ht="20" customHeight="1" x14ac:dyDescent="0.2">
      <c r="A75" s="1"/>
      <c r="B75" s="98" t="s">
        <v>303</v>
      </c>
      <c r="C75" s="1"/>
      <c r="D75" s="92" t="s">
        <v>304</v>
      </c>
      <c r="E75" s="52">
        <f t="shared" ref="E75:AB75" si="0">inp_headcount*inp_flc_per_fte/12</f>
        <v>0</v>
      </c>
      <c r="F75" s="52">
        <f t="shared" si="0"/>
        <v>0</v>
      </c>
      <c r="G75" s="52">
        <f t="shared" si="0"/>
        <v>0</v>
      </c>
      <c r="H75" s="52">
        <f t="shared" si="0"/>
        <v>0</v>
      </c>
      <c r="I75" s="52">
        <f t="shared" si="0"/>
        <v>0</v>
      </c>
      <c r="J75" s="52">
        <f t="shared" si="0"/>
        <v>0</v>
      </c>
      <c r="K75" s="52">
        <f t="shared" si="0"/>
        <v>0</v>
      </c>
      <c r="L75" s="52">
        <f t="shared" si="0"/>
        <v>0</v>
      </c>
      <c r="M75" s="52">
        <f t="shared" si="0"/>
        <v>0</v>
      </c>
      <c r="N75" s="52">
        <f t="shared" si="0"/>
        <v>0</v>
      </c>
      <c r="O75" s="52">
        <f t="shared" si="0"/>
        <v>0</v>
      </c>
      <c r="P75" s="52">
        <f t="shared" si="0"/>
        <v>0</v>
      </c>
      <c r="Q75" s="52">
        <f t="shared" si="0"/>
        <v>0</v>
      </c>
      <c r="R75" s="52">
        <f t="shared" si="0"/>
        <v>0</v>
      </c>
      <c r="S75" s="52">
        <f t="shared" si="0"/>
        <v>0</v>
      </c>
      <c r="T75" s="52">
        <f t="shared" si="0"/>
        <v>0</v>
      </c>
      <c r="U75" s="52">
        <f t="shared" si="0"/>
        <v>0</v>
      </c>
      <c r="V75" s="52">
        <f t="shared" si="0"/>
        <v>0</v>
      </c>
      <c r="W75" s="52">
        <f t="shared" si="0"/>
        <v>0</v>
      </c>
      <c r="X75" s="52">
        <f t="shared" si="0"/>
        <v>0</v>
      </c>
      <c r="Y75" s="52">
        <f t="shared" si="0"/>
        <v>0</v>
      </c>
      <c r="Z75" s="52">
        <f t="shared" si="0"/>
        <v>0</v>
      </c>
      <c r="AA75" s="52">
        <f t="shared" si="0"/>
        <v>0</v>
      </c>
      <c r="AB75" s="52">
        <f t="shared" si="0"/>
        <v>0</v>
      </c>
      <c r="AC75" s="29">
        <f t="shared" ref="AC75:AC81" si="1">SUM(E75:P75)</f>
        <v>0</v>
      </c>
      <c r="AD75" s="2"/>
      <c r="AE75" s="2"/>
      <c r="AF75" s="2"/>
      <c r="AG75" s="2"/>
      <c r="AH75" s="2"/>
      <c r="AI75" s="2"/>
      <c r="AJ75" s="2"/>
      <c r="AK75" s="2"/>
      <c r="AL75" s="2"/>
      <c r="AM75" s="2"/>
      <c r="AN75" s="2"/>
      <c r="AO75" s="2"/>
      <c r="AP75" s="2"/>
      <c r="AQ75" s="2"/>
    </row>
    <row r="76" spans="1:43" ht="20" customHeight="1" x14ac:dyDescent="0.2">
      <c r="A76" s="1"/>
      <c r="B76" s="96" t="s">
        <v>305</v>
      </c>
      <c r="C76" s="1"/>
      <c r="D76" s="92" t="s">
        <v>306</v>
      </c>
      <c r="E76" s="47"/>
      <c r="F76" s="47"/>
      <c r="G76" s="47"/>
      <c r="H76" s="47"/>
      <c r="I76" s="47"/>
      <c r="J76" s="47"/>
      <c r="K76" s="47"/>
      <c r="L76" s="47"/>
      <c r="M76" s="47"/>
      <c r="N76" s="47"/>
      <c r="O76" s="47"/>
      <c r="P76" s="47"/>
      <c r="Q76" s="47"/>
      <c r="R76" s="47"/>
      <c r="S76" s="47"/>
      <c r="T76" s="47"/>
      <c r="U76" s="47"/>
      <c r="V76" s="47"/>
      <c r="W76" s="47"/>
      <c r="X76" s="47"/>
      <c r="Y76" s="47"/>
      <c r="Z76" s="47"/>
      <c r="AA76" s="47"/>
      <c r="AB76" s="47"/>
      <c r="AC76" s="29">
        <f t="shared" si="1"/>
        <v>0</v>
      </c>
      <c r="AD76" s="2"/>
      <c r="AE76" s="2"/>
      <c r="AF76" s="2"/>
      <c r="AG76" s="2"/>
      <c r="AH76" s="2"/>
      <c r="AI76" s="2"/>
      <c r="AJ76" s="2"/>
      <c r="AK76" s="2"/>
      <c r="AL76" s="2"/>
      <c r="AM76" s="2"/>
      <c r="AN76" s="2"/>
      <c r="AO76" s="2"/>
      <c r="AP76" s="2"/>
      <c r="AQ76" s="2"/>
    </row>
    <row r="77" spans="1:43" ht="20" customHeight="1" x14ac:dyDescent="0.2">
      <c r="A77" s="1"/>
      <c r="B77" s="96" t="s">
        <v>307</v>
      </c>
      <c r="C77" s="1"/>
      <c r="D77" s="92" t="s">
        <v>308</v>
      </c>
      <c r="E77" s="47"/>
      <c r="F77" s="47"/>
      <c r="G77" s="47"/>
      <c r="H77" s="47"/>
      <c r="I77" s="47"/>
      <c r="J77" s="47"/>
      <c r="K77" s="47"/>
      <c r="L77" s="47"/>
      <c r="M77" s="47"/>
      <c r="N77" s="47"/>
      <c r="O77" s="47"/>
      <c r="P77" s="47"/>
      <c r="Q77" s="47"/>
      <c r="R77" s="47"/>
      <c r="S77" s="47"/>
      <c r="T77" s="47"/>
      <c r="U77" s="47"/>
      <c r="V77" s="47"/>
      <c r="W77" s="47"/>
      <c r="X77" s="47"/>
      <c r="Y77" s="47"/>
      <c r="Z77" s="47"/>
      <c r="AA77" s="47"/>
      <c r="AB77" s="47"/>
      <c r="AC77" s="29">
        <f t="shared" si="1"/>
        <v>0</v>
      </c>
      <c r="AD77" s="2"/>
      <c r="AE77" s="2"/>
      <c r="AF77" s="2"/>
      <c r="AG77" s="2"/>
      <c r="AH77" s="2"/>
      <c r="AI77" s="2"/>
      <c r="AJ77" s="2"/>
      <c r="AK77" s="2"/>
      <c r="AL77" s="2"/>
      <c r="AM77" s="2"/>
      <c r="AN77" s="2"/>
      <c r="AO77" s="2"/>
      <c r="AP77" s="2"/>
      <c r="AQ77" s="2"/>
    </row>
    <row r="78" spans="1:43" ht="20" customHeight="1" x14ac:dyDescent="0.2">
      <c r="A78" s="1"/>
      <c r="B78" s="96" t="s">
        <v>309</v>
      </c>
      <c r="C78" s="1"/>
      <c r="D78" s="92" t="s">
        <v>310</v>
      </c>
      <c r="E78" s="47"/>
      <c r="F78" s="47"/>
      <c r="G78" s="47"/>
      <c r="H78" s="47"/>
      <c r="I78" s="47"/>
      <c r="J78" s="47"/>
      <c r="K78" s="47"/>
      <c r="L78" s="47"/>
      <c r="M78" s="47"/>
      <c r="N78" s="47"/>
      <c r="O78" s="47"/>
      <c r="P78" s="47"/>
      <c r="Q78" s="47"/>
      <c r="R78" s="47"/>
      <c r="S78" s="47"/>
      <c r="T78" s="47"/>
      <c r="U78" s="47"/>
      <c r="V78" s="47"/>
      <c r="W78" s="47"/>
      <c r="X78" s="47"/>
      <c r="Y78" s="47"/>
      <c r="Z78" s="47"/>
      <c r="AA78" s="47"/>
      <c r="AB78" s="47"/>
      <c r="AC78" s="29">
        <f t="shared" si="1"/>
        <v>0</v>
      </c>
      <c r="AD78" s="2"/>
      <c r="AE78" s="2"/>
      <c r="AF78" s="2"/>
      <c r="AG78" s="2"/>
      <c r="AH78" s="2"/>
      <c r="AI78" s="2"/>
      <c r="AJ78" s="2"/>
      <c r="AK78" s="2"/>
      <c r="AL78" s="2"/>
      <c r="AM78" s="2"/>
      <c r="AN78" s="2"/>
      <c r="AO78" s="2"/>
      <c r="AP78" s="2"/>
      <c r="AQ78" s="2"/>
    </row>
    <row r="79" spans="1:43" ht="20" customHeight="1" x14ac:dyDescent="0.2">
      <c r="A79" s="1"/>
      <c r="B79" s="96" t="s">
        <v>311</v>
      </c>
      <c r="C79" s="1"/>
      <c r="D79" s="92" t="s">
        <v>312</v>
      </c>
      <c r="E79" s="47"/>
      <c r="F79" s="47"/>
      <c r="G79" s="47"/>
      <c r="H79" s="47"/>
      <c r="I79" s="47"/>
      <c r="J79" s="47"/>
      <c r="K79" s="47"/>
      <c r="L79" s="47"/>
      <c r="M79" s="47"/>
      <c r="N79" s="47"/>
      <c r="O79" s="47"/>
      <c r="P79" s="47"/>
      <c r="Q79" s="47"/>
      <c r="R79" s="47"/>
      <c r="S79" s="47"/>
      <c r="T79" s="47"/>
      <c r="U79" s="47"/>
      <c r="V79" s="47"/>
      <c r="W79" s="47"/>
      <c r="X79" s="47"/>
      <c r="Y79" s="47"/>
      <c r="Z79" s="47"/>
      <c r="AA79" s="47"/>
      <c r="AB79" s="47"/>
      <c r="AC79" s="29">
        <f t="shared" si="1"/>
        <v>0</v>
      </c>
      <c r="AD79" s="2"/>
      <c r="AE79" s="2"/>
      <c r="AF79" s="2"/>
      <c r="AG79" s="2"/>
      <c r="AH79" s="2"/>
      <c r="AI79" s="2"/>
      <c r="AJ79" s="2"/>
      <c r="AK79" s="2"/>
      <c r="AL79" s="2"/>
      <c r="AM79" s="2"/>
      <c r="AN79" s="2"/>
      <c r="AO79" s="2"/>
      <c r="AP79" s="2"/>
      <c r="AQ79" s="2"/>
    </row>
    <row r="80" spans="1:43" ht="20" customHeight="1" x14ac:dyDescent="0.2">
      <c r="A80" s="1"/>
      <c r="B80" s="96" t="s">
        <v>313</v>
      </c>
      <c r="C80" s="1"/>
      <c r="D80" s="92" t="s">
        <v>314</v>
      </c>
      <c r="E80" s="47"/>
      <c r="F80" s="47"/>
      <c r="G80" s="47"/>
      <c r="H80" s="47"/>
      <c r="I80" s="47"/>
      <c r="J80" s="47"/>
      <c r="K80" s="47"/>
      <c r="L80" s="47"/>
      <c r="M80" s="47"/>
      <c r="N80" s="47"/>
      <c r="O80" s="47"/>
      <c r="P80" s="47"/>
      <c r="Q80" s="47"/>
      <c r="R80" s="47"/>
      <c r="S80" s="47"/>
      <c r="T80" s="47"/>
      <c r="U80" s="47"/>
      <c r="V80" s="47"/>
      <c r="W80" s="47"/>
      <c r="X80" s="47"/>
      <c r="Y80" s="47"/>
      <c r="Z80" s="47"/>
      <c r="AA80" s="47"/>
      <c r="AB80" s="47"/>
      <c r="AC80" s="29">
        <f t="shared" si="1"/>
        <v>0</v>
      </c>
      <c r="AD80" s="2"/>
      <c r="AE80" s="2"/>
      <c r="AF80" s="2"/>
      <c r="AG80" s="2"/>
      <c r="AH80" s="2"/>
      <c r="AI80" s="2"/>
      <c r="AJ80" s="2"/>
      <c r="AK80" s="2"/>
      <c r="AL80" s="2"/>
      <c r="AM80" s="2"/>
      <c r="AN80" s="2"/>
      <c r="AO80" s="2"/>
      <c r="AP80" s="2"/>
      <c r="AQ80" s="2"/>
    </row>
    <row r="81" spans="1:43" ht="20" customHeight="1" x14ac:dyDescent="0.2">
      <c r="A81" s="1"/>
      <c r="B81" s="96" t="s">
        <v>315</v>
      </c>
      <c r="C81" s="1"/>
      <c r="D81" s="92" t="s">
        <v>316</v>
      </c>
      <c r="E81" s="47"/>
      <c r="F81" s="47"/>
      <c r="G81" s="47"/>
      <c r="H81" s="47"/>
      <c r="I81" s="47"/>
      <c r="J81" s="47"/>
      <c r="K81" s="47"/>
      <c r="L81" s="47"/>
      <c r="M81" s="47"/>
      <c r="N81" s="47"/>
      <c r="O81" s="47"/>
      <c r="P81" s="47"/>
      <c r="Q81" s="47"/>
      <c r="R81" s="47"/>
      <c r="S81" s="47"/>
      <c r="T81" s="47"/>
      <c r="U81" s="47"/>
      <c r="V81" s="47"/>
      <c r="W81" s="47"/>
      <c r="X81" s="47"/>
      <c r="Y81" s="47"/>
      <c r="Z81" s="47"/>
      <c r="AA81" s="47"/>
      <c r="AB81" s="47"/>
      <c r="AC81" s="29">
        <f t="shared" si="1"/>
        <v>0</v>
      </c>
      <c r="AD81" s="2"/>
      <c r="AE81" s="2"/>
      <c r="AF81" s="2"/>
      <c r="AG81" s="2"/>
      <c r="AH81" s="2"/>
      <c r="AI81" s="2"/>
      <c r="AJ81" s="2"/>
      <c r="AK81" s="2"/>
      <c r="AL81" s="2"/>
      <c r="AM81" s="2"/>
      <c r="AN81" s="2"/>
      <c r="AO81" s="2"/>
      <c r="AP81" s="2"/>
      <c r="AQ81" s="2"/>
    </row>
    <row r="82" spans="1:43" x14ac:dyDescent="0.2">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2"/>
      <c r="AE82" s="2"/>
      <c r="AF82" s="2"/>
      <c r="AG82" s="2"/>
      <c r="AH82" s="2"/>
      <c r="AI82" s="2"/>
      <c r="AJ82" s="2"/>
      <c r="AK82" s="2"/>
      <c r="AL82" s="2"/>
      <c r="AM82" s="2"/>
      <c r="AN82" s="2"/>
      <c r="AO82" s="2"/>
      <c r="AP82" s="2"/>
      <c r="AQ82" s="2"/>
    </row>
    <row r="83" spans="1:43" ht="22" customHeight="1" x14ac:dyDescent="0.2">
      <c r="A83" s="1"/>
      <c r="B83" s="19" t="s">
        <v>317</v>
      </c>
      <c r="C83" s="6"/>
      <c r="D83" s="6"/>
      <c r="E83" s="6"/>
      <c r="F83" s="6"/>
      <c r="G83" s="6"/>
      <c r="H83" s="94"/>
      <c r="I83" s="94"/>
      <c r="J83" s="94"/>
      <c r="K83" s="94"/>
      <c r="L83" s="94"/>
      <c r="M83" s="94"/>
      <c r="N83" s="94"/>
      <c r="O83" s="94"/>
      <c r="P83" s="94"/>
      <c r="Q83" s="94"/>
      <c r="R83" s="94"/>
      <c r="S83" s="94"/>
      <c r="T83" s="94"/>
      <c r="U83" s="94"/>
      <c r="V83" s="94"/>
      <c r="W83" s="94"/>
      <c r="X83" s="94"/>
      <c r="Y83" s="94"/>
      <c r="Z83" s="94"/>
      <c r="AA83" s="94"/>
      <c r="AB83" s="94"/>
      <c r="AC83" s="94"/>
      <c r="AD83" s="2"/>
      <c r="AE83" s="2"/>
      <c r="AF83" s="2"/>
      <c r="AG83" s="2"/>
      <c r="AH83" s="2"/>
      <c r="AI83" s="2"/>
      <c r="AJ83" s="2"/>
      <c r="AK83" s="2"/>
      <c r="AL83" s="2"/>
      <c r="AM83" s="2"/>
      <c r="AN83" s="2"/>
      <c r="AO83" s="2"/>
      <c r="AP83" s="2"/>
      <c r="AQ83" s="2"/>
    </row>
    <row r="84" spans="1:43" ht="22" customHeight="1" x14ac:dyDescent="0.2">
      <c r="A84" s="1"/>
      <c r="B84" s="27"/>
      <c r="C84" s="1"/>
      <c r="D84" s="27" t="s">
        <v>276</v>
      </c>
      <c r="E84" s="28" t="s">
        <v>44</v>
      </c>
      <c r="F84" s="28" t="s">
        <v>45</v>
      </c>
      <c r="G84" s="28" t="s">
        <v>46</v>
      </c>
      <c r="H84" s="28" t="s">
        <v>47</v>
      </c>
      <c r="I84" s="28" t="s">
        <v>48</v>
      </c>
      <c r="J84" s="28" t="s">
        <v>49</v>
      </c>
      <c r="K84" s="28" t="s">
        <v>50</v>
      </c>
      <c r="L84" s="28" t="s">
        <v>51</v>
      </c>
      <c r="M84" s="28" t="s">
        <v>52</v>
      </c>
      <c r="N84" s="28" t="s">
        <v>53</v>
      </c>
      <c r="O84" s="28" t="s">
        <v>54</v>
      </c>
      <c r="P84" s="28" t="s">
        <v>55</v>
      </c>
      <c r="Q84" s="28" t="s">
        <v>56</v>
      </c>
      <c r="R84" s="28" t="s">
        <v>57</v>
      </c>
      <c r="S84" s="28" t="s">
        <v>58</v>
      </c>
      <c r="T84" s="28" t="s">
        <v>59</v>
      </c>
      <c r="U84" s="28" t="s">
        <v>60</v>
      </c>
      <c r="V84" s="28" t="s">
        <v>61</v>
      </c>
      <c r="W84" s="28" t="s">
        <v>62</v>
      </c>
      <c r="X84" s="28" t="s">
        <v>63</v>
      </c>
      <c r="Y84" s="28" t="s">
        <v>64</v>
      </c>
      <c r="Z84" s="28" t="s">
        <v>65</v>
      </c>
      <c r="AA84" s="28" t="s">
        <v>66</v>
      </c>
      <c r="AB84" s="28" t="s">
        <v>67</v>
      </c>
      <c r="AC84" s="28" t="s">
        <v>41</v>
      </c>
      <c r="AD84" s="2"/>
      <c r="AE84" s="2"/>
      <c r="AF84" s="2"/>
      <c r="AG84" s="2"/>
      <c r="AH84" s="2"/>
      <c r="AI84" s="2"/>
      <c r="AJ84" s="2"/>
      <c r="AK84" s="2"/>
      <c r="AL84" s="2"/>
      <c r="AM84" s="2"/>
      <c r="AN84" s="2"/>
      <c r="AO84" s="2"/>
      <c r="AP84" s="2"/>
      <c r="AQ84" s="2"/>
    </row>
    <row r="85" spans="1:43" ht="20" customHeight="1" x14ac:dyDescent="0.2">
      <c r="A85" s="1"/>
      <c r="B85" s="96" t="s">
        <v>318</v>
      </c>
      <c r="C85" s="1"/>
      <c r="D85" s="92" t="s">
        <v>319</v>
      </c>
      <c r="E85" s="47"/>
      <c r="F85" s="47"/>
      <c r="G85" s="47"/>
      <c r="H85" s="47"/>
      <c r="I85" s="47"/>
      <c r="J85" s="47"/>
      <c r="K85" s="47"/>
      <c r="L85" s="47"/>
      <c r="M85" s="47"/>
      <c r="N85" s="47"/>
      <c r="O85" s="47"/>
      <c r="P85" s="47"/>
      <c r="Q85" s="47"/>
      <c r="R85" s="47"/>
      <c r="S85" s="47"/>
      <c r="T85" s="47"/>
      <c r="U85" s="47"/>
      <c r="V85" s="47"/>
      <c r="W85" s="47"/>
      <c r="X85" s="47"/>
      <c r="Y85" s="47"/>
      <c r="Z85" s="47"/>
      <c r="AA85" s="47"/>
      <c r="AB85" s="47"/>
      <c r="AC85" s="29">
        <f>SUM(E85:P85)</f>
        <v>0</v>
      </c>
      <c r="AD85" s="2"/>
      <c r="AE85" s="2"/>
      <c r="AF85" s="2"/>
      <c r="AG85" s="2"/>
      <c r="AH85" s="2"/>
      <c r="AI85" s="2"/>
      <c r="AJ85" s="2"/>
      <c r="AK85" s="2"/>
      <c r="AL85" s="2"/>
      <c r="AM85" s="2"/>
      <c r="AN85" s="2"/>
      <c r="AO85" s="2"/>
      <c r="AP85" s="2"/>
      <c r="AQ85" s="2"/>
    </row>
    <row r="86" spans="1:43" x14ac:dyDescent="0.2">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2"/>
      <c r="AE86" s="2"/>
      <c r="AF86" s="2"/>
      <c r="AG86" s="2"/>
      <c r="AH86" s="2"/>
      <c r="AI86" s="2"/>
      <c r="AJ86" s="2"/>
      <c r="AK86" s="2"/>
      <c r="AL86" s="2"/>
      <c r="AM86" s="2"/>
      <c r="AN86" s="2"/>
      <c r="AO86" s="2"/>
      <c r="AP86" s="2"/>
      <c r="AQ86" s="2"/>
    </row>
    <row r="87" spans="1:43" ht="22" customHeight="1" x14ac:dyDescent="0.2">
      <c r="A87" s="1"/>
      <c r="B87" s="19" t="s">
        <v>320</v>
      </c>
      <c r="C87" s="6"/>
      <c r="D87" s="6"/>
      <c r="E87" s="6"/>
      <c r="F87" s="6"/>
      <c r="G87" s="6"/>
      <c r="H87" s="94"/>
      <c r="I87" s="94"/>
      <c r="J87" s="94"/>
      <c r="K87" s="94"/>
      <c r="L87" s="94"/>
      <c r="M87" s="94"/>
      <c r="N87" s="94"/>
      <c r="O87" s="94"/>
      <c r="P87" s="94"/>
      <c r="Q87" s="94"/>
      <c r="R87" s="94"/>
      <c r="S87" s="94"/>
      <c r="T87" s="94"/>
      <c r="U87" s="94"/>
      <c r="V87" s="94"/>
      <c r="W87" s="94"/>
      <c r="X87" s="94"/>
      <c r="Y87" s="94"/>
      <c r="Z87" s="94"/>
      <c r="AA87" s="94"/>
      <c r="AB87" s="94"/>
      <c r="AC87" s="94"/>
      <c r="AD87" s="2"/>
      <c r="AE87" s="2"/>
      <c r="AF87" s="2"/>
      <c r="AG87" s="2"/>
      <c r="AH87" s="2"/>
      <c r="AI87" s="2"/>
      <c r="AJ87" s="2"/>
      <c r="AK87" s="2"/>
      <c r="AL87" s="2"/>
      <c r="AM87" s="2"/>
      <c r="AN87" s="2"/>
      <c r="AO87" s="2"/>
      <c r="AP87" s="2"/>
      <c r="AQ87" s="2"/>
    </row>
    <row r="88" spans="1:43" ht="22" customHeight="1" x14ac:dyDescent="0.2">
      <c r="A88" s="1"/>
      <c r="B88" s="27"/>
      <c r="C88" s="1"/>
      <c r="D88" s="27" t="s">
        <v>276</v>
      </c>
      <c r="E88" s="28" t="s">
        <v>44</v>
      </c>
      <c r="F88" s="28" t="s">
        <v>45</v>
      </c>
      <c r="G88" s="28" t="s">
        <v>46</v>
      </c>
      <c r="H88" s="28" t="s">
        <v>47</v>
      </c>
      <c r="I88" s="28" t="s">
        <v>48</v>
      </c>
      <c r="J88" s="28" t="s">
        <v>49</v>
      </c>
      <c r="K88" s="28" t="s">
        <v>50</v>
      </c>
      <c r="L88" s="28" t="s">
        <v>51</v>
      </c>
      <c r="M88" s="28" t="s">
        <v>52</v>
      </c>
      <c r="N88" s="28" t="s">
        <v>53</v>
      </c>
      <c r="O88" s="28" t="s">
        <v>54</v>
      </c>
      <c r="P88" s="28" t="s">
        <v>55</v>
      </c>
      <c r="Q88" s="28" t="s">
        <v>56</v>
      </c>
      <c r="R88" s="28" t="s">
        <v>57</v>
      </c>
      <c r="S88" s="28" t="s">
        <v>58</v>
      </c>
      <c r="T88" s="28" t="s">
        <v>59</v>
      </c>
      <c r="U88" s="28" t="s">
        <v>60</v>
      </c>
      <c r="V88" s="28" t="s">
        <v>61</v>
      </c>
      <c r="W88" s="28" t="s">
        <v>62</v>
      </c>
      <c r="X88" s="28" t="s">
        <v>63</v>
      </c>
      <c r="Y88" s="28" t="s">
        <v>64</v>
      </c>
      <c r="Z88" s="28" t="s">
        <v>65</v>
      </c>
      <c r="AA88" s="28" t="s">
        <v>66</v>
      </c>
      <c r="AB88" s="28" t="s">
        <v>67</v>
      </c>
      <c r="AC88" s="28" t="s">
        <v>41</v>
      </c>
      <c r="AD88" s="2"/>
      <c r="AE88" s="2"/>
      <c r="AF88" s="2"/>
      <c r="AG88" s="2"/>
      <c r="AH88" s="2"/>
      <c r="AI88" s="2"/>
      <c r="AJ88" s="2"/>
      <c r="AK88" s="2"/>
      <c r="AL88" s="2"/>
      <c r="AM88" s="2"/>
      <c r="AN88" s="2"/>
      <c r="AO88" s="2"/>
      <c r="AP88" s="2"/>
      <c r="AQ88" s="2"/>
    </row>
    <row r="89" spans="1:43" ht="20" customHeight="1" x14ac:dyDescent="0.2">
      <c r="A89" s="1"/>
      <c r="B89" s="96" t="s">
        <v>321</v>
      </c>
      <c r="C89" s="1"/>
      <c r="D89" s="92" t="s">
        <v>322</v>
      </c>
      <c r="E89" s="47"/>
      <c r="F89" s="47"/>
      <c r="G89" s="47"/>
      <c r="H89" s="47"/>
      <c r="I89" s="47"/>
      <c r="J89" s="47"/>
      <c r="K89" s="47"/>
      <c r="L89" s="47"/>
      <c r="M89" s="47"/>
      <c r="N89" s="47"/>
      <c r="O89" s="47"/>
      <c r="P89" s="47"/>
      <c r="Q89" s="47"/>
      <c r="R89" s="47"/>
      <c r="S89" s="47"/>
      <c r="T89" s="47"/>
      <c r="U89" s="47"/>
      <c r="V89" s="47"/>
      <c r="W89" s="47"/>
      <c r="X89" s="47"/>
      <c r="Y89" s="47"/>
      <c r="Z89" s="47"/>
      <c r="AA89" s="47"/>
      <c r="AB89" s="47"/>
      <c r="AC89" s="29">
        <f>SUM(E89:P89)</f>
        <v>0</v>
      </c>
      <c r="AD89" s="2"/>
      <c r="AE89" s="2"/>
      <c r="AF89" s="2"/>
      <c r="AG89" s="2"/>
      <c r="AH89" s="2"/>
      <c r="AI89" s="2"/>
      <c r="AJ89" s="2"/>
      <c r="AK89" s="2"/>
      <c r="AL89" s="2"/>
      <c r="AM89" s="2"/>
      <c r="AN89" s="2"/>
      <c r="AO89" s="2"/>
      <c r="AP89" s="2"/>
      <c r="AQ89" s="2"/>
    </row>
    <row r="90" spans="1:43" x14ac:dyDescent="0.2">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2"/>
      <c r="AE90" s="2"/>
      <c r="AF90" s="2"/>
      <c r="AG90" s="2"/>
      <c r="AH90" s="2"/>
      <c r="AI90" s="2"/>
      <c r="AJ90" s="2"/>
      <c r="AK90" s="2"/>
      <c r="AL90" s="2"/>
      <c r="AM90" s="2"/>
      <c r="AN90" s="2"/>
      <c r="AO90" s="2"/>
      <c r="AP90" s="2"/>
      <c r="AQ90" s="2"/>
    </row>
    <row r="91" spans="1:43" ht="22" customHeight="1" x14ac:dyDescent="0.2">
      <c r="A91" s="1"/>
      <c r="B91" s="19" t="s">
        <v>323</v>
      </c>
      <c r="C91" s="6"/>
      <c r="D91" s="6"/>
      <c r="E91" s="6"/>
      <c r="F91" s="6"/>
      <c r="G91" s="6"/>
      <c r="H91" s="94"/>
      <c r="I91" s="94"/>
      <c r="J91" s="94"/>
      <c r="K91" s="94"/>
      <c r="L91" s="94"/>
      <c r="M91" s="94"/>
      <c r="N91" s="94"/>
      <c r="O91" s="94"/>
      <c r="P91" s="94"/>
      <c r="Q91" s="94"/>
      <c r="R91" s="94"/>
      <c r="S91" s="94"/>
      <c r="T91" s="94"/>
      <c r="U91" s="94"/>
      <c r="V91" s="94"/>
      <c r="W91" s="94"/>
      <c r="X91" s="94"/>
      <c r="Y91" s="94"/>
      <c r="Z91" s="94"/>
      <c r="AA91" s="94"/>
      <c r="AB91" s="94"/>
      <c r="AC91" s="94"/>
      <c r="AD91" s="2"/>
      <c r="AE91" s="2"/>
      <c r="AF91" s="2"/>
      <c r="AG91" s="2"/>
      <c r="AH91" s="2"/>
      <c r="AI91" s="2"/>
      <c r="AJ91" s="2"/>
      <c r="AK91" s="2"/>
      <c r="AL91" s="2"/>
      <c r="AM91" s="2"/>
      <c r="AN91" s="2"/>
      <c r="AO91" s="2"/>
      <c r="AP91" s="2"/>
      <c r="AQ91" s="2"/>
    </row>
    <row r="92" spans="1:43" ht="22" customHeight="1" x14ac:dyDescent="0.2">
      <c r="A92" s="1"/>
      <c r="B92" s="27"/>
      <c r="C92" s="1"/>
      <c r="D92" s="27" t="s">
        <v>276</v>
      </c>
      <c r="E92" s="28" t="s">
        <v>44</v>
      </c>
      <c r="F92" s="28" t="s">
        <v>45</v>
      </c>
      <c r="G92" s="28" t="s">
        <v>46</v>
      </c>
      <c r="H92" s="28" t="s">
        <v>47</v>
      </c>
      <c r="I92" s="28" t="s">
        <v>48</v>
      </c>
      <c r="J92" s="28" t="s">
        <v>49</v>
      </c>
      <c r="K92" s="28" t="s">
        <v>50</v>
      </c>
      <c r="L92" s="28" t="s">
        <v>51</v>
      </c>
      <c r="M92" s="28" t="s">
        <v>52</v>
      </c>
      <c r="N92" s="28" t="s">
        <v>53</v>
      </c>
      <c r="O92" s="28" t="s">
        <v>54</v>
      </c>
      <c r="P92" s="28" t="s">
        <v>55</v>
      </c>
      <c r="Q92" s="28" t="s">
        <v>56</v>
      </c>
      <c r="R92" s="28" t="s">
        <v>57</v>
      </c>
      <c r="S92" s="28" t="s">
        <v>58</v>
      </c>
      <c r="T92" s="28" t="s">
        <v>59</v>
      </c>
      <c r="U92" s="28" t="s">
        <v>60</v>
      </c>
      <c r="V92" s="28" t="s">
        <v>61</v>
      </c>
      <c r="W92" s="28" t="s">
        <v>62</v>
      </c>
      <c r="X92" s="28" t="s">
        <v>63</v>
      </c>
      <c r="Y92" s="28" t="s">
        <v>64</v>
      </c>
      <c r="Z92" s="28" t="s">
        <v>65</v>
      </c>
      <c r="AA92" s="28" t="s">
        <v>66</v>
      </c>
      <c r="AB92" s="28" t="s">
        <v>67</v>
      </c>
      <c r="AC92" s="28" t="s">
        <v>41</v>
      </c>
      <c r="AD92" s="2"/>
      <c r="AE92" s="2"/>
      <c r="AF92" s="2"/>
      <c r="AG92" s="2"/>
      <c r="AH92" s="2"/>
      <c r="AI92" s="2"/>
      <c r="AJ92" s="2"/>
      <c r="AK92" s="2"/>
      <c r="AL92" s="2"/>
      <c r="AM92" s="2"/>
      <c r="AN92" s="2"/>
      <c r="AO92" s="2"/>
      <c r="AP92" s="2"/>
      <c r="AQ92" s="2"/>
    </row>
    <row r="93" spans="1:43" ht="20" customHeight="1" x14ac:dyDescent="0.2">
      <c r="A93" s="1"/>
      <c r="B93" s="96" t="s">
        <v>324</v>
      </c>
      <c r="C93" s="1"/>
      <c r="D93" s="92" t="s">
        <v>325</v>
      </c>
      <c r="E93" s="47"/>
      <c r="F93" s="47"/>
      <c r="G93" s="47"/>
      <c r="H93" s="47"/>
      <c r="I93" s="47"/>
      <c r="J93" s="47"/>
      <c r="K93" s="47"/>
      <c r="L93" s="47"/>
      <c r="M93" s="47"/>
      <c r="N93" s="47"/>
      <c r="O93" s="47"/>
      <c r="P93" s="47"/>
      <c r="Q93" s="47"/>
      <c r="R93" s="47"/>
      <c r="S93" s="47"/>
      <c r="T93" s="47"/>
      <c r="U93" s="47"/>
      <c r="V93" s="47"/>
      <c r="W93" s="47"/>
      <c r="X93" s="47"/>
      <c r="Y93" s="47"/>
      <c r="Z93" s="47"/>
      <c r="AA93" s="47"/>
      <c r="AB93" s="47"/>
      <c r="AC93" s="29">
        <f>SUM(E93:P93)</f>
        <v>0</v>
      </c>
      <c r="AD93" s="2"/>
      <c r="AE93" s="2"/>
      <c r="AF93" s="2"/>
      <c r="AG93" s="2"/>
      <c r="AH93" s="2"/>
      <c r="AI93" s="2"/>
      <c r="AJ93" s="2"/>
      <c r="AK93" s="2"/>
      <c r="AL93" s="2"/>
      <c r="AM93" s="2"/>
      <c r="AN93" s="2"/>
      <c r="AO93" s="2"/>
      <c r="AP93" s="2"/>
      <c r="AQ93" s="2"/>
    </row>
    <row r="94" spans="1:43" ht="20" customHeight="1" x14ac:dyDescent="0.2">
      <c r="A94" s="1"/>
      <c r="B94" s="96" t="s">
        <v>326</v>
      </c>
      <c r="C94" s="1"/>
      <c r="D94" s="92" t="s">
        <v>327</v>
      </c>
      <c r="E94" s="47"/>
      <c r="F94" s="47"/>
      <c r="G94" s="47"/>
      <c r="H94" s="47"/>
      <c r="I94" s="47"/>
      <c r="J94" s="47"/>
      <c r="K94" s="47"/>
      <c r="L94" s="47"/>
      <c r="M94" s="47"/>
      <c r="N94" s="47"/>
      <c r="O94" s="47"/>
      <c r="P94" s="47"/>
      <c r="Q94" s="47"/>
      <c r="R94" s="47"/>
      <c r="S94" s="47"/>
      <c r="T94" s="47"/>
      <c r="U94" s="47"/>
      <c r="V94" s="47"/>
      <c r="W94" s="47"/>
      <c r="X94" s="47"/>
      <c r="Y94" s="47"/>
      <c r="Z94" s="47"/>
      <c r="AA94" s="47"/>
      <c r="AB94" s="47"/>
      <c r="AC94" s="29">
        <f>SUM(E94:P94)</f>
        <v>0</v>
      </c>
      <c r="AD94" s="2"/>
      <c r="AE94" s="2"/>
      <c r="AF94" s="2"/>
      <c r="AG94" s="2"/>
      <c r="AH94" s="2"/>
      <c r="AI94" s="2"/>
      <c r="AJ94" s="2"/>
      <c r="AK94" s="2"/>
      <c r="AL94" s="2"/>
      <c r="AM94" s="2"/>
      <c r="AN94" s="2"/>
      <c r="AO94" s="2"/>
      <c r="AP94" s="2"/>
      <c r="AQ94" s="2"/>
    </row>
    <row r="95" spans="1:43" x14ac:dyDescent="0.2">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2"/>
      <c r="AE95" s="2"/>
      <c r="AF95" s="2"/>
      <c r="AG95" s="2"/>
      <c r="AH95" s="2"/>
      <c r="AI95" s="2"/>
      <c r="AJ95" s="2"/>
      <c r="AK95" s="2"/>
      <c r="AL95" s="2"/>
      <c r="AM95" s="2"/>
      <c r="AN95" s="2"/>
      <c r="AO95" s="2"/>
      <c r="AP95" s="2"/>
      <c r="AQ95" s="2"/>
    </row>
    <row r="96" spans="1:43" ht="22" customHeight="1" x14ac:dyDescent="0.2">
      <c r="A96" s="1"/>
      <c r="B96" s="19" t="s">
        <v>328</v>
      </c>
      <c r="C96" s="6"/>
      <c r="D96" s="6"/>
      <c r="E96" s="6"/>
      <c r="F96" s="6"/>
      <c r="G96" s="6"/>
      <c r="H96" s="94"/>
      <c r="I96" s="94"/>
      <c r="J96" s="94"/>
      <c r="K96" s="94"/>
      <c r="L96" s="94"/>
      <c r="M96" s="94"/>
      <c r="N96" s="94"/>
      <c r="O96" s="94"/>
      <c r="P96" s="94"/>
      <c r="Q96" s="94"/>
      <c r="R96" s="94"/>
      <c r="S96" s="94"/>
      <c r="T96" s="94"/>
      <c r="U96" s="94"/>
      <c r="V96" s="94"/>
      <c r="W96" s="94"/>
      <c r="X96" s="94"/>
      <c r="Y96" s="94"/>
      <c r="Z96" s="94"/>
      <c r="AA96" s="94"/>
      <c r="AB96" s="94"/>
      <c r="AC96" s="94"/>
      <c r="AD96" s="2"/>
      <c r="AE96" s="2"/>
      <c r="AF96" s="2"/>
      <c r="AG96" s="2"/>
      <c r="AH96" s="2"/>
      <c r="AI96" s="2"/>
      <c r="AJ96" s="2"/>
      <c r="AK96" s="2"/>
      <c r="AL96" s="2"/>
      <c r="AM96" s="2"/>
      <c r="AN96" s="2"/>
      <c r="AO96" s="2"/>
      <c r="AP96" s="2"/>
      <c r="AQ96" s="2"/>
    </row>
    <row r="97" spans="1:43" ht="22" customHeight="1" x14ac:dyDescent="0.2">
      <c r="A97" s="1"/>
      <c r="B97" s="27"/>
      <c r="C97" s="1"/>
      <c r="D97" s="27" t="s">
        <v>276</v>
      </c>
      <c r="E97" s="28" t="s">
        <v>44</v>
      </c>
      <c r="F97" s="28" t="s">
        <v>45</v>
      </c>
      <c r="G97" s="28" t="s">
        <v>46</v>
      </c>
      <c r="H97" s="28" t="s">
        <v>47</v>
      </c>
      <c r="I97" s="28" t="s">
        <v>48</v>
      </c>
      <c r="J97" s="28" t="s">
        <v>49</v>
      </c>
      <c r="K97" s="28" t="s">
        <v>50</v>
      </c>
      <c r="L97" s="28" t="s">
        <v>51</v>
      </c>
      <c r="M97" s="28" t="s">
        <v>52</v>
      </c>
      <c r="N97" s="28" t="s">
        <v>53</v>
      </c>
      <c r="O97" s="28" t="s">
        <v>54</v>
      </c>
      <c r="P97" s="28" t="s">
        <v>55</v>
      </c>
      <c r="Q97" s="28" t="s">
        <v>56</v>
      </c>
      <c r="R97" s="28" t="s">
        <v>57</v>
      </c>
      <c r="S97" s="28" t="s">
        <v>58</v>
      </c>
      <c r="T97" s="28" t="s">
        <v>59</v>
      </c>
      <c r="U97" s="28" t="s">
        <v>60</v>
      </c>
      <c r="V97" s="28" t="s">
        <v>61</v>
      </c>
      <c r="W97" s="28" t="s">
        <v>62</v>
      </c>
      <c r="X97" s="28" t="s">
        <v>63</v>
      </c>
      <c r="Y97" s="28" t="s">
        <v>64</v>
      </c>
      <c r="Z97" s="28" t="s">
        <v>65</v>
      </c>
      <c r="AA97" s="28" t="s">
        <v>66</v>
      </c>
      <c r="AB97" s="28" t="s">
        <v>67</v>
      </c>
      <c r="AC97" s="28" t="s">
        <v>41</v>
      </c>
      <c r="AD97" s="2"/>
      <c r="AE97" s="2"/>
      <c r="AF97" s="2"/>
      <c r="AG97" s="2"/>
      <c r="AH97" s="2"/>
      <c r="AI97" s="2"/>
      <c r="AJ97" s="2"/>
      <c r="AK97" s="2"/>
      <c r="AL97" s="2"/>
      <c r="AM97" s="2"/>
      <c r="AN97" s="2"/>
      <c r="AO97" s="2"/>
      <c r="AP97" s="2"/>
      <c r="AQ97" s="2"/>
    </row>
    <row r="98" spans="1:43" ht="20" customHeight="1" x14ac:dyDescent="0.2">
      <c r="A98" s="1"/>
      <c r="B98" s="96" t="s">
        <v>329</v>
      </c>
      <c r="C98" s="1"/>
      <c r="D98" s="92" t="s">
        <v>330</v>
      </c>
      <c r="E98" s="47"/>
      <c r="F98" s="47"/>
      <c r="G98" s="47"/>
      <c r="H98" s="47"/>
      <c r="I98" s="47"/>
      <c r="J98" s="47"/>
      <c r="K98" s="47"/>
      <c r="L98" s="47"/>
      <c r="M98" s="47"/>
      <c r="N98" s="47"/>
      <c r="O98" s="47"/>
      <c r="P98" s="47"/>
      <c r="Q98" s="47"/>
      <c r="R98" s="47"/>
      <c r="S98" s="47"/>
      <c r="T98" s="47"/>
      <c r="U98" s="47"/>
      <c r="V98" s="47"/>
      <c r="W98" s="47"/>
      <c r="X98" s="47"/>
      <c r="Y98" s="47"/>
      <c r="Z98" s="47"/>
      <c r="AA98" s="47"/>
      <c r="AB98" s="47"/>
      <c r="AC98" s="29">
        <f>SUM(E98:P98)</f>
        <v>0</v>
      </c>
      <c r="AD98" s="2"/>
      <c r="AE98" s="2"/>
      <c r="AF98" s="2"/>
      <c r="AG98" s="2"/>
      <c r="AH98" s="2"/>
      <c r="AI98" s="2"/>
      <c r="AJ98" s="2"/>
      <c r="AK98" s="2"/>
      <c r="AL98" s="2"/>
      <c r="AM98" s="2"/>
      <c r="AN98" s="2"/>
      <c r="AO98" s="2"/>
      <c r="AP98" s="2"/>
      <c r="AQ98" s="2"/>
    </row>
    <row r="99" spans="1:43" ht="20" customHeight="1" x14ac:dyDescent="0.2">
      <c r="A99" s="1"/>
      <c r="B99" s="96" t="s">
        <v>331</v>
      </c>
      <c r="C99" s="1"/>
      <c r="D99" s="92" t="s">
        <v>332</v>
      </c>
      <c r="E99" s="47"/>
      <c r="F99" s="47"/>
      <c r="G99" s="47"/>
      <c r="H99" s="47"/>
      <c r="I99" s="47"/>
      <c r="J99" s="47"/>
      <c r="K99" s="47"/>
      <c r="L99" s="47"/>
      <c r="M99" s="47"/>
      <c r="N99" s="47"/>
      <c r="O99" s="47"/>
      <c r="P99" s="47"/>
      <c r="Q99" s="47"/>
      <c r="R99" s="47"/>
      <c r="S99" s="47"/>
      <c r="T99" s="47"/>
      <c r="U99" s="47"/>
      <c r="V99" s="47"/>
      <c r="W99" s="47"/>
      <c r="X99" s="47"/>
      <c r="Y99" s="47"/>
      <c r="Z99" s="47"/>
      <c r="AA99" s="47"/>
      <c r="AB99" s="47"/>
      <c r="AC99" s="29">
        <f>SUM(E99:P99)</f>
        <v>0</v>
      </c>
      <c r="AD99" s="2"/>
      <c r="AE99" s="2"/>
      <c r="AF99" s="2"/>
      <c r="AG99" s="2"/>
      <c r="AH99" s="2"/>
      <c r="AI99" s="2"/>
      <c r="AJ99" s="2"/>
      <c r="AK99" s="2"/>
      <c r="AL99" s="2"/>
      <c r="AM99" s="2"/>
      <c r="AN99" s="2"/>
      <c r="AO99" s="2"/>
      <c r="AP99" s="2"/>
      <c r="AQ99" s="2"/>
    </row>
    <row r="100" spans="1:43" x14ac:dyDescent="0.2">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2"/>
      <c r="AE100" s="2"/>
      <c r="AF100" s="2"/>
      <c r="AG100" s="2"/>
      <c r="AH100" s="2"/>
      <c r="AI100" s="2"/>
      <c r="AJ100" s="2"/>
      <c r="AK100" s="2"/>
      <c r="AL100" s="2"/>
      <c r="AM100" s="2"/>
      <c r="AN100" s="2"/>
      <c r="AO100" s="2"/>
      <c r="AP100" s="2"/>
      <c r="AQ100" s="2"/>
    </row>
    <row r="101" spans="1:43" ht="22" customHeight="1" x14ac:dyDescent="0.2">
      <c r="A101" s="1"/>
      <c r="B101" s="19" t="s">
        <v>333</v>
      </c>
      <c r="C101" s="15" t="s">
        <v>334</v>
      </c>
      <c r="D101" s="6"/>
      <c r="E101" s="6"/>
      <c r="F101" s="6"/>
      <c r="G101" s="6"/>
      <c r="H101" s="94"/>
      <c r="I101" s="94"/>
      <c r="J101" s="94"/>
      <c r="K101" s="94"/>
      <c r="L101" s="94"/>
      <c r="M101" s="94"/>
      <c r="N101" s="94"/>
      <c r="O101" s="94"/>
      <c r="P101" s="94"/>
      <c r="Q101" s="94"/>
      <c r="R101" s="94"/>
      <c r="S101" s="94"/>
      <c r="T101" s="94"/>
      <c r="U101" s="94"/>
      <c r="V101" s="94"/>
      <c r="W101" s="94"/>
      <c r="X101" s="94"/>
      <c r="Y101" s="94"/>
      <c r="Z101" s="94"/>
      <c r="AA101" s="94"/>
      <c r="AB101" s="94"/>
      <c r="AC101" s="95"/>
      <c r="AD101" s="2"/>
      <c r="AE101" s="2"/>
      <c r="AF101" s="2"/>
      <c r="AG101" s="2"/>
      <c r="AH101" s="2"/>
      <c r="AI101" s="2"/>
      <c r="AJ101" s="2"/>
      <c r="AK101" s="2"/>
      <c r="AL101" s="2"/>
      <c r="AM101" s="2"/>
      <c r="AN101" s="2"/>
      <c r="AO101" s="2"/>
      <c r="AP101" s="2"/>
      <c r="AQ101" s="2"/>
    </row>
    <row r="102" spans="1:43" ht="22" customHeight="1" x14ac:dyDescent="0.2">
      <c r="A102" s="1"/>
      <c r="B102" s="27"/>
      <c r="C102" s="1"/>
      <c r="D102" s="27" t="s">
        <v>276</v>
      </c>
      <c r="E102" s="28" t="s">
        <v>44</v>
      </c>
      <c r="F102" s="28" t="s">
        <v>45</v>
      </c>
      <c r="G102" s="28" t="s">
        <v>46</v>
      </c>
      <c r="H102" s="28" t="s">
        <v>47</v>
      </c>
      <c r="I102" s="28" t="s">
        <v>48</v>
      </c>
      <c r="J102" s="28" t="s">
        <v>49</v>
      </c>
      <c r="K102" s="28" t="s">
        <v>50</v>
      </c>
      <c r="L102" s="28" t="s">
        <v>51</v>
      </c>
      <c r="M102" s="28" t="s">
        <v>52</v>
      </c>
      <c r="N102" s="28" t="s">
        <v>53</v>
      </c>
      <c r="O102" s="28" t="s">
        <v>54</v>
      </c>
      <c r="P102" s="28" t="s">
        <v>55</v>
      </c>
      <c r="Q102" s="28" t="s">
        <v>56</v>
      </c>
      <c r="R102" s="28" t="s">
        <v>57</v>
      </c>
      <c r="S102" s="28" t="s">
        <v>58</v>
      </c>
      <c r="T102" s="28" t="s">
        <v>59</v>
      </c>
      <c r="U102" s="28" t="s">
        <v>60</v>
      </c>
      <c r="V102" s="28" t="s">
        <v>61</v>
      </c>
      <c r="W102" s="28" t="s">
        <v>62</v>
      </c>
      <c r="X102" s="28" t="s">
        <v>63</v>
      </c>
      <c r="Y102" s="28" t="s">
        <v>64</v>
      </c>
      <c r="Z102" s="28" t="s">
        <v>65</v>
      </c>
      <c r="AA102" s="28" t="s">
        <v>66</v>
      </c>
      <c r="AB102" s="28" t="s">
        <v>67</v>
      </c>
      <c r="AC102" s="28" t="s">
        <v>41</v>
      </c>
      <c r="AD102" s="2"/>
      <c r="AE102" s="2"/>
      <c r="AF102" s="2"/>
      <c r="AG102" s="2"/>
      <c r="AH102" s="2"/>
      <c r="AI102" s="2"/>
      <c r="AJ102" s="2"/>
      <c r="AK102" s="2"/>
      <c r="AL102" s="2"/>
      <c r="AM102" s="2"/>
      <c r="AN102" s="2"/>
      <c r="AO102" s="2"/>
      <c r="AP102" s="2"/>
      <c r="AQ102" s="2"/>
    </row>
    <row r="103" spans="1:43" ht="20" customHeight="1" x14ac:dyDescent="0.2">
      <c r="A103" s="1"/>
      <c r="B103" s="96" t="s">
        <v>335</v>
      </c>
      <c r="C103" s="1"/>
      <c r="D103" s="92" t="s">
        <v>336</v>
      </c>
      <c r="E103" s="53">
        <v>0</v>
      </c>
      <c r="F103" s="53">
        <v>0</v>
      </c>
      <c r="G103" s="53">
        <v>0</v>
      </c>
      <c r="H103" s="53">
        <v>0.25</v>
      </c>
      <c r="I103" s="53">
        <v>0</v>
      </c>
      <c r="J103" s="53">
        <v>0</v>
      </c>
      <c r="K103" s="53">
        <v>0</v>
      </c>
      <c r="L103" s="53">
        <v>0.25</v>
      </c>
      <c r="M103" s="53">
        <v>0</v>
      </c>
      <c r="N103" s="53">
        <v>0.25</v>
      </c>
      <c r="O103" s="53">
        <v>0</v>
      </c>
      <c r="P103" s="53">
        <v>0</v>
      </c>
      <c r="Q103" s="53">
        <v>0</v>
      </c>
      <c r="R103" s="53">
        <v>0</v>
      </c>
      <c r="S103" s="53">
        <v>0</v>
      </c>
      <c r="T103" s="53">
        <v>0.25</v>
      </c>
      <c r="U103" s="53">
        <v>0</v>
      </c>
      <c r="V103" s="53">
        <v>0</v>
      </c>
      <c r="W103" s="53">
        <v>0</v>
      </c>
      <c r="X103" s="53">
        <v>0.25</v>
      </c>
      <c r="Y103" s="53">
        <v>0</v>
      </c>
      <c r="Z103" s="53">
        <v>0.25</v>
      </c>
      <c r="AA103" s="53">
        <v>0</v>
      </c>
      <c r="AB103" s="53">
        <v>0</v>
      </c>
      <c r="AC103" s="31">
        <f>SUM(E103:P103)</f>
        <v>0.75</v>
      </c>
      <c r="AD103" s="2"/>
      <c r="AE103" s="2"/>
      <c r="AF103" s="2"/>
      <c r="AG103" s="2"/>
      <c r="AH103" s="2"/>
      <c r="AI103" s="2"/>
      <c r="AJ103" s="2"/>
      <c r="AK103" s="2"/>
      <c r="AL103" s="2"/>
      <c r="AM103" s="2"/>
      <c r="AN103" s="2"/>
      <c r="AO103" s="2"/>
      <c r="AP103" s="2"/>
      <c r="AQ103" s="2"/>
    </row>
    <row r="104" spans="1:43" x14ac:dyDescent="0.2">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2"/>
      <c r="AE104" s="2"/>
      <c r="AF104" s="32">
        <v>0</v>
      </c>
      <c r="AG104" s="32">
        <v>0</v>
      </c>
      <c r="AH104" s="32">
        <v>0</v>
      </c>
      <c r="AI104" s="32">
        <v>0.25</v>
      </c>
      <c r="AJ104" s="32">
        <v>0</v>
      </c>
      <c r="AK104" s="32">
        <v>0</v>
      </c>
      <c r="AL104" s="32">
        <v>0</v>
      </c>
      <c r="AM104" s="32">
        <v>0.25</v>
      </c>
      <c r="AN104" s="32">
        <v>0</v>
      </c>
      <c r="AO104" s="32">
        <v>0.25</v>
      </c>
      <c r="AP104" s="32">
        <v>0</v>
      </c>
      <c r="AQ104" s="32">
        <v>0</v>
      </c>
    </row>
    <row r="105" spans="1:43" x14ac:dyDescent="0.2">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2"/>
      <c r="AE105" s="2"/>
      <c r="AF105" s="32">
        <v>0</v>
      </c>
      <c r="AG105" s="32">
        <v>0</v>
      </c>
      <c r="AH105" s="32">
        <v>0</v>
      </c>
      <c r="AI105" s="32">
        <v>0</v>
      </c>
      <c r="AJ105" s="32">
        <v>0.33300000000000002</v>
      </c>
      <c r="AK105" s="32">
        <v>0</v>
      </c>
      <c r="AL105" s="32">
        <v>0</v>
      </c>
      <c r="AM105" s="32">
        <v>0</v>
      </c>
      <c r="AN105" s="32">
        <v>0</v>
      </c>
      <c r="AO105" s="32">
        <v>0.33400000000000002</v>
      </c>
      <c r="AP105" s="32">
        <v>0</v>
      </c>
      <c r="AQ105" s="32">
        <v>0</v>
      </c>
    </row>
    <row r="106" spans="1:43" x14ac:dyDescent="0.2">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2"/>
      <c r="AE106" s="2"/>
      <c r="AF106" s="32">
        <v>0</v>
      </c>
      <c r="AG106" s="32">
        <v>0</v>
      </c>
      <c r="AH106" s="32">
        <v>0</v>
      </c>
      <c r="AI106" s="32">
        <v>0.25</v>
      </c>
      <c r="AJ106" s="32">
        <v>0</v>
      </c>
      <c r="AK106" s="32">
        <v>0.25</v>
      </c>
      <c r="AL106" s="32">
        <v>0</v>
      </c>
      <c r="AM106" s="32">
        <v>0</v>
      </c>
      <c r="AN106" s="32">
        <v>0.25</v>
      </c>
      <c r="AO106" s="32">
        <v>0</v>
      </c>
      <c r="AP106" s="32">
        <v>0</v>
      </c>
      <c r="AQ106" s="32">
        <v>0</v>
      </c>
    </row>
    <row r="107" spans="1:43" x14ac:dyDescent="0.2">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2"/>
      <c r="AE107" s="2"/>
      <c r="AF107" s="2"/>
      <c r="AG107" s="2"/>
      <c r="AH107" s="2"/>
      <c r="AI107" s="2"/>
      <c r="AJ107" s="2"/>
      <c r="AK107" s="2"/>
      <c r="AL107" s="2"/>
      <c r="AM107" s="2"/>
      <c r="AN107" s="2"/>
      <c r="AO107" s="2"/>
      <c r="AP107" s="2"/>
      <c r="AQ107" s="2"/>
    </row>
    <row r="108" spans="1:43" ht="22" customHeight="1" x14ac:dyDescent="0.2">
      <c r="A108" s="1"/>
      <c r="B108" s="19" t="s">
        <v>337</v>
      </c>
      <c r="C108" s="15" t="s">
        <v>338</v>
      </c>
      <c r="D108" s="6"/>
      <c r="E108" s="6"/>
      <c r="F108" s="6"/>
      <c r="G108" s="6"/>
      <c r="H108" s="94"/>
      <c r="I108" s="94"/>
      <c r="J108" s="94"/>
      <c r="K108" s="94"/>
      <c r="L108" s="94"/>
      <c r="M108" s="94"/>
      <c r="N108" s="94"/>
      <c r="O108" s="94"/>
      <c r="P108" s="94"/>
      <c r="Q108" s="94"/>
      <c r="R108" s="94"/>
      <c r="S108" s="94"/>
      <c r="T108" s="94"/>
      <c r="U108" s="94"/>
      <c r="V108" s="94"/>
      <c r="W108" s="94"/>
      <c r="X108" s="94"/>
      <c r="Y108" s="94"/>
      <c r="Z108" s="94"/>
      <c r="AA108" s="94"/>
      <c r="AB108" s="94"/>
      <c r="AC108" s="95"/>
      <c r="AD108" s="2"/>
      <c r="AE108" s="2"/>
      <c r="AF108" s="2"/>
      <c r="AG108" s="2"/>
      <c r="AH108" s="2"/>
      <c r="AI108" s="2"/>
      <c r="AJ108" s="2"/>
      <c r="AK108" s="2"/>
      <c r="AL108" s="2"/>
      <c r="AM108" s="2"/>
      <c r="AN108" s="2"/>
      <c r="AO108" s="2"/>
      <c r="AP108" s="2"/>
      <c r="AQ108" s="2"/>
    </row>
    <row r="109" spans="1:43" ht="22" customHeight="1" x14ac:dyDescent="0.2">
      <c r="A109" s="1"/>
      <c r="B109" s="27" t="s">
        <v>218</v>
      </c>
      <c r="C109" s="28" t="s">
        <v>339</v>
      </c>
      <c r="D109" s="27" t="s">
        <v>340</v>
      </c>
      <c r="E109" s="33" t="s">
        <v>341</v>
      </c>
      <c r="F109" s="1"/>
      <c r="G109" s="1"/>
      <c r="H109" s="1"/>
      <c r="I109" s="1"/>
      <c r="J109" s="1"/>
      <c r="K109" s="1"/>
      <c r="L109" s="1"/>
      <c r="M109" s="1"/>
      <c r="N109" s="1"/>
      <c r="O109" s="1"/>
      <c r="P109" s="1"/>
      <c r="Q109" s="1"/>
      <c r="R109" s="1"/>
      <c r="S109" s="1"/>
      <c r="T109" s="1"/>
      <c r="U109" s="1"/>
      <c r="V109" s="1"/>
      <c r="W109" s="1"/>
      <c r="X109" s="1"/>
      <c r="Y109" s="1"/>
      <c r="Z109" s="1"/>
      <c r="AA109" s="1"/>
      <c r="AB109" s="1"/>
      <c r="AC109" s="1"/>
      <c r="AD109" s="2"/>
      <c r="AE109" s="2"/>
      <c r="AF109" s="2"/>
      <c r="AG109" s="2"/>
      <c r="AH109" s="2"/>
      <c r="AI109" s="2"/>
      <c r="AJ109" s="2"/>
      <c r="AK109" s="2"/>
      <c r="AL109" s="2"/>
      <c r="AM109" s="2"/>
      <c r="AN109" s="2"/>
      <c r="AO109" s="2"/>
      <c r="AP109" s="2"/>
      <c r="AQ109" s="2"/>
    </row>
    <row r="110" spans="1:43" ht="20" customHeight="1" x14ac:dyDescent="0.2">
      <c r="A110" s="1"/>
      <c r="B110" s="30" t="s">
        <v>219</v>
      </c>
      <c r="C110" s="34">
        <v>7</v>
      </c>
      <c r="D110" s="26">
        <v>0.25</v>
      </c>
      <c r="E110" s="93" t="s">
        <v>342</v>
      </c>
      <c r="F110" s="1"/>
      <c r="G110" s="1"/>
      <c r="H110" s="1"/>
      <c r="I110" s="1"/>
      <c r="J110" s="1"/>
      <c r="K110" s="1"/>
      <c r="L110" s="1"/>
      <c r="M110" s="1"/>
      <c r="N110" s="1"/>
      <c r="O110" s="1"/>
      <c r="P110" s="1"/>
      <c r="Q110" s="1"/>
      <c r="R110" s="1"/>
      <c r="S110" s="1"/>
      <c r="T110" s="1"/>
      <c r="U110" s="1"/>
      <c r="V110" s="1"/>
      <c r="W110" s="1"/>
      <c r="X110" s="1"/>
      <c r="Y110" s="1"/>
      <c r="Z110" s="1"/>
      <c r="AA110" s="1"/>
      <c r="AB110" s="1"/>
      <c r="AC110" s="1"/>
      <c r="AD110" s="2"/>
      <c r="AE110" s="2"/>
      <c r="AF110" s="2"/>
      <c r="AG110" s="2"/>
      <c r="AH110" s="2"/>
      <c r="AI110" s="2"/>
      <c r="AJ110" s="2"/>
      <c r="AK110" s="2"/>
      <c r="AL110" s="2"/>
      <c r="AM110" s="2"/>
      <c r="AN110" s="2"/>
      <c r="AO110" s="2"/>
      <c r="AP110" s="2"/>
      <c r="AQ110" s="2"/>
    </row>
    <row r="111" spans="1:43" ht="20" customHeight="1" x14ac:dyDescent="0.2">
      <c r="A111" s="1"/>
      <c r="B111" s="30" t="s">
        <v>343</v>
      </c>
      <c r="C111" s="34">
        <v>4</v>
      </c>
      <c r="D111" s="26">
        <v>0.28000000000000003</v>
      </c>
      <c r="E111" s="93" t="s">
        <v>344</v>
      </c>
      <c r="F111" s="1"/>
      <c r="G111" s="1"/>
      <c r="H111" s="1"/>
      <c r="I111" s="1"/>
      <c r="J111" s="1"/>
      <c r="K111" s="1"/>
      <c r="L111" s="1"/>
      <c r="M111" s="1"/>
      <c r="N111" s="1"/>
      <c r="O111" s="1"/>
      <c r="P111" s="1"/>
      <c r="Q111" s="1"/>
      <c r="R111" s="1"/>
      <c r="S111" s="1"/>
      <c r="T111" s="1"/>
      <c r="U111" s="1"/>
      <c r="V111" s="1"/>
      <c r="W111" s="1"/>
      <c r="X111" s="1"/>
      <c r="Y111" s="1"/>
      <c r="Z111" s="1"/>
      <c r="AA111" s="1"/>
      <c r="AB111" s="1"/>
      <c r="AC111" s="1"/>
      <c r="AD111" s="2"/>
      <c r="AE111" s="2"/>
      <c r="AF111" s="2"/>
      <c r="AG111" s="2"/>
      <c r="AH111" s="2"/>
      <c r="AI111" s="2"/>
      <c r="AJ111" s="2"/>
      <c r="AK111" s="2"/>
      <c r="AL111" s="2"/>
      <c r="AM111" s="2"/>
      <c r="AN111" s="2"/>
      <c r="AO111" s="2"/>
      <c r="AP111" s="2"/>
      <c r="AQ111" s="2"/>
    </row>
    <row r="112" spans="1:43" ht="20" customHeight="1" x14ac:dyDescent="0.2">
      <c r="A112" s="1"/>
      <c r="B112" s="30" t="s">
        <v>345</v>
      </c>
      <c r="C112" s="34">
        <v>1</v>
      </c>
      <c r="D112" s="26">
        <v>0.25</v>
      </c>
      <c r="E112" s="93" t="s">
        <v>346</v>
      </c>
      <c r="F112" s="1"/>
      <c r="G112" s="1"/>
      <c r="H112" s="1"/>
      <c r="I112" s="1"/>
      <c r="J112" s="1"/>
      <c r="K112" s="1"/>
      <c r="L112" s="1"/>
      <c r="M112" s="1"/>
      <c r="N112" s="1"/>
      <c r="O112" s="1"/>
      <c r="P112" s="1"/>
      <c r="Q112" s="1"/>
      <c r="R112" s="1"/>
      <c r="S112" s="1"/>
      <c r="T112" s="1"/>
      <c r="U112" s="1"/>
      <c r="V112" s="1"/>
      <c r="W112" s="1"/>
      <c r="X112" s="1"/>
      <c r="Y112" s="1"/>
      <c r="Z112" s="1"/>
      <c r="AA112" s="1"/>
      <c r="AB112" s="1"/>
      <c r="AC112" s="1"/>
      <c r="AD112" s="2"/>
      <c r="AE112" s="2"/>
      <c r="AF112" s="2"/>
      <c r="AG112" s="2"/>
      <c r="AH112" s="2"/>
      <c r="AI112" s="2"/>
      <c r="AJ112" s="2"/>
      <c r="AK112" s="2"/>
      <c r="AL112" s="2"/>
      <c r="AM112" s="2"/>
      <c r="AN112" s="2"/>
      <c r="AO112" s="2"/>
      <c r="AP112" s="2"/>
      <c r="AQ112" s="2"/>
    </row>
    <row r="113" spans="1:43" x14ac:dyDescent="0.2">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2"/>
      <c r="AE113" s="2"/>
      <c r="AF113" s="2"/>
      <c r="AG113" s="2"/>
      <c r="AH113" s="2"/>
      <c r="AI113" s="2"/>
      <c r="AJ113" s="2"/>
      <c r="AK113" s="2"/>
      <c r="AL113" s="2"/>
      <c r="AM113" s="2"/>
      <c r="AN113" s="2"/>
      <c r="AO113" s="2"/>
      <c r="AP113" s="2"/>
      <c r="AQ113" s="2"/>
    </row>
    <row r="114" spans="1:43" ht="22" customHeight="1" x14ac:dyDescent="0.2">
      <c r="A114" s="1"/>
      <c r="B114" s="19" t="s">
        <v>347</v>
      </c>
      <c r="C114" s="15" t="s">
        <v>348</v>
      </c>
      <c r="D114" s="6"/>
      <c r="E114" s="6"/>
      <c r="F114" s="6"/>
      <c r="G114" s="6"/>
      <c r="H114" s="94"/>
      <c r="I114" s="94"/>
      <c r="J114" s="94"/>
      <c r="K114" s="94"/>
      <c r="L114" s="94"/>
      <c r="M114" s="94"/>
      <c r="N114" s="94"/>
      <c r="O114" s="94"/>
      <c r="P114" s="94"/>
      <c r="Q114" s="94"/>
      <c r="R114" s="94"/>
      <c r="S114" s="94"/>
      <c r="T114" s="94"/>
      <c r="U114" s="94"/>
      <c r="V114" s="94"/>
      <c r="W114" s="94"/>
      <c r="X114" s="94"/>
      <c r="Y114" s="94"/>
      <c r="Z114" s="94"/>
      <c r="AA114" s="94"/>
      <c r="AB114" s="94"/>
      <c r="AC114" s="95"/>
      <c r="AD114" s="2"/>
      <c r="AE114" s="2"/>
      <c r="AF114" s="2"/>
      <c r="AG114" s="2"/>
      <c r="AH114" s="2"/>
      <c r="AI114" s="2"/>
      <c r="AJ114" s="2"/>
      <c r="AK114" s="2"/>
      <c r="AL114" s="2"/>
      <c r="AM114" s="2"/>
      <c r="AN114" s="2"/>
      <c r="AO114" s="2"/>
      <c r="AP114" s="2"/>
      <c r="AQ114" s="2"/>
    </row>
    <row r="115" spans="1:43" ht="22" customHeight="1" x14ac:dyDescent="0.2">
      <c r="A115" s="1"/>
      <c r="B115" s="27" t="s">
        <v>220</v>
      </c>
      <c r="C115" s="28" t="s">
        <v>349</v>
      </c>
      <c r="D115" s="28" t="s">
        <v>350</v>
      </c>
      <c r="E115" s="28" t="s">
        <v>351</v>
      </c>
      <c r="F115" s="28" t="s">
        <v>352</v>
      </c>
      <c r="G115" s="28" t="s">
        <v>353</v>
      </c>
      <c r="H115" s="27" t="s">
        <v>354</v>
      </c>
      <c r="I115" s="1"/>
      <c r="J115" s="1"/>
      <c r="K115" s="1"/>
      <c r="L115" s="1"/>
      <c r="M115" s="1"/>
      <c r="N115" s="1"/>
      <c r="O115" s="1"/>
      <c r="P115" s="1"/>
      <c r="Q115" s="1"/>
      <c r="R115" s="1"/>
      <c r="S115" s="1"/>
      <c r="T115" s="1"/>
      <c r="U115" s="1"/>
      <c r="V115" s="1"/>
      <c r="W115" s="1"/>
      <c r="X115" s="1"/>
      <c r="Y115" s="1"/>
      <c r="Z115" s="1"/>
      <c r="AA115" s="1"/>
      <c r="AB115" s="1"/>
      <c r="AC115" s="1"/>
      <c r="AD115" s="2"/>
      <c r="AE115" s="2"/>
      <c r="AF115" s="2"/>
      <c r="AG115" s="2"/>
      <c r="AH115" s="2"/>
      <c r="AI115" s="2"/>
      <c r="AJ115" s="2"/>
      <c r="AK115" s="2"/>
      <c r="AL115" s="2"/>
      <c r="AM115" s="2"/>
      <c r="AN115" s="2"/>
      <c r="AO115" s="2"/>
      <c r="AP115" s="2"/>
      <c r="AQ115" s="2"/>
    </row>
    <row r="116" spans="1:43" ht="20" customHeight="1" x14ac:dyDescent="0.2">
      <c r="A116" s="1"/>
      <c r="B116" s="30" t="s">
        <v>221</v>
      </c>
      <c r="C116" s="36">
        <v>50</v>
      </c>
      <c r="D116" s="36">
        <v>30</v>
      </c>
      <c r="E116" s="26">
        <v>0.12</v>
      </c>
      <c r="F116" s="37">
        <v>1.5</v>
      </c>
      <c r="G116" s="26">
        <v>0.18</v>
      </c>
      <c r="H116" s="93" t="s">
        <v>355</v>
      </c>
      <c r="I116" s="1"/>
      <c r="J116" s="1"/>
      <c r="K116" s="1"/>
      <c r="L116" s="1"/>
      <c r="M116" s="1"/>
      <c r="N116" s="1"/>
      <c r="O116" s="1"/>
      <c r="P116" s="1"/>
      <c r="Q116" s="1"/>
      <c r="R116" s="1"/>
      <c r="S116" s="1"/>
      <c r="T116" s="1"/>
      <c r="U116" s="1"/>
      <c r="V116" s="1"/>
      <c r="W116" s="1"/>
      <c r="X116" s="1"/>
      <c r="Y116" s="1"/>
      <c r="Z116" s="1"/>
      <c r="AA116" s="1"/>
      <c r="AB116" s="1"/>
      <c r="AC116" s="1"/>
      <c r="AD116" s="2"/>
      <c r="AE116" s="2"/>
      <c r="AF116" s="2"/>
      <c r="AG116" s="2"/>
      <c r="AH116" s="2"/>
      <c r="AI116" s="2"/>
      <c r="AJ116" s="2"/>
      <c r="AK116" s="2"/>
      <c r="AL116" s="2"/>
      <c r="AM116" s="2"/>
      <c r="AN116" s="2"/>
      <c r="AO116" s="2"/>
      <c r="AP116" s="2"/>
      <c r="AQ116" s="2"/>
    </row>
    <row r="117" spans="1:43" ht="20" customHeight="1" x14ac:dyDescent="0.2">
      <c r="A117" s="1"/>
      <c r="B117" s="30" t="s">
        <v>356</v>
      </c>
      <c r="C117" s="36">
        <v>45</v>
      </c>
      <c r="D117" s="36">
        <v>30</v>
      </c>
      <c r="E117" s="26">
        <v>0.1</v>
      </c>
      <c r="F117" s="37">
        <v>1</v>
      </c>
      <c r="G117" s="26">
        <v>0.22</v>
      </c>
      <c r="H117" s="93" t="s">
        <v>357</v>
      </c>
      <c r="I117" s="1"/>
      <c r="J117" s="1"/>
      <c r="K117" s="1"/>
      <c r="L117" s="1"/>
      <c r="M117" s="1"/>
      <c r="N117" s="1"/>
      <c r="O117" s="1"/>
      <c r="P117" s="1"/>
      <c r="Q117" s="1"/>
      <c r="R117" s="1"/>
      <c r="S117" s="1"/>
      <c r="T117" s="1"/>
      <c r="U117" s="1"/>
      <c r="V117" s="1"/>
      <c r="W117" s="1"/>
      <c r="X117" s="1"/>
      <c r="Y117" s="1"/>
      <c r="Z117" s="1"/>
      <c r="AA117" s="1"/>
      <c r="AB117" s="1"/>
      <c r="AC117" s="1"/>
      <c r="AD117" s="2"/>
      <c r="AE117" s="2"/>
      <c r="AF117" s="2"/>
      <c r="AG117" s="2"/>
      <c r="AH117" s="2"/>
      <c r="AI117" s="2"/>
      <c r="AJ117" s="2"/>
      <c r="AK117" s="2"/>
      <c r="AL117" s="2"/>
      <c r="AM117" s="2"/>
      <c r="AN117" s="2"/>
      <c r="AO117" s="2"/>
      <c r="AP117" s="2"/>
      <c r="AQ117" s="2"/>
    </row>
    <row r="118" spans="1:43" ht="20" customHeight="1" x14ac:dyDescent="0.2">
      <c r="A118" s="1"/>
      <c r="B118" s="30" t="s">
        <v>358</v>
      </c>
      <c r="C118" s="36">
        <v>65</v>
      </c>
      <c r="D118" s="36">
        <v>35</v>
      </c>
      <c r="E118" s="26">
        <v>0.15</v>
      </c>
      <c r="F118" s="37">
        <v>2</v>
      </c>
      <c r="G118" s="26">
        <v>0.15</v>
      </c>
      <c r="H118" s="93" t="s">
        <v>359</v>
      </c>
      <c r="I118" s="1"/>
      <c r="J118" s="1"/>
      <c r="K118" s="1"/>
      <c r="L118" s="1"/>
      <c r="M118" s="1"/>
      <c r="N118" s="1"/>
      <c r="O118" s="1"/>
      <c r="P118" s="1"/>
      <c r="Q118" s="1"/>
      <c r="R118" s="1"/>
      <c r="S118" s="1"/>
      <c r="T118" s="1"/>
      <c r="U118" s="1"/>
      <c r="V118" s="1"/>
      <c r="W118" s="1"/>
      <c r="X118" s="1"/>
      <c r="Y118" s="1"/>
      <c r="Z118" s="1"/>
      <c r="AA118" s="1"/>
      <c r="AB118" s="1"/>
      <c r="AC118" s="1"/>
      <c r="AD118" s="2"/>
      <c r="AE118" s="2"/>
      <c r="AF118" s="2"/>
      <c r="AG118" s="2"/>
      <c r="AH118" s="2"/>
      <c r="AI118" s="2"/>
      <c r="AJ118" s="2"/>
      <c r="AK118" s="2"/>
      <c r="AL118" s="2"/>
      <c r="AM118" s="2"/>
      <c r="AN118" s="2"/>
      <c r="AO118" s="2"/>
      <c r="AP118" s="2"/>
      <c r="AQ118" s="2"/>
    </row>
    <row r="119" spans="1:43" ht="20" customHeight="1" x14ac:dyDescent="0.2">
      <c r="A119" s="1"/>
      <c r="B119" s="30" t="s">
        <v>360</v>
      </c>
      <c r="C119" s="36">
        <v>45</v>
      </c>
      <c r="D119" s="36">
        <v>35</v>
      </c>
      <c r="E119" s="26">
        <v>0.1</v>
      </c>
      <c r="F119" s="37">
        <v>1.5</v>
      </c>
      <c r="G119" s="26">
        <v>0.16</v>
      </c>
      <c r="H119" s="93" t="s">
        <v>361</v>
      </c>
      <c r="I119" s="1"/>
      <c r="J119" s="1"/>
      <c r="K119" s="1"/>
      <c r="L119" s="1"/>
      <c r="M119" s="1"/>
      <c r="N119" s="1"/>
      <c r="O119" s="1"/>
      <c r="P119" s="1"/>
      <c r="Q119" s="1"/>
      <c r="R119" s="1"/>
      <c r="S119" s="1"/>
      <c r="T119" s="1"/>
      <c r="U119" s="1"/>
      <c r="V119" s="1"/>
      <c r="W119" s="1"/>
      <c r="X119" s="1"/>
      <c r="Y119" s="1"/>
      <c r="Z119" s="1"/>
      <c r="AA119" s="1"/>
      <c r="AB119" s="1"/>
      <c r="AC119" s="1"/>
      <c r="AD119" s="2"/>
      <c r="AE119" s="2"/>
      <c r="AF119" s="2"/>
      <c r="AG119" s="2"/>
      <c r="AH119" s="2"/>
      <c r="AI119" s="2"/>
      <c r="AJ119" s="2"/>
      <c r="AK119" s="2"/>
      <c r="AL119" s="2"/>
      <c r="AM119" s="2"/>
      <c r="AN119" s="2"/>
      <c r="AO119" s="2"/>
      <c r="AP119" s="2"/>
      <c r="AQ119" s="2"/>
    </row>
    <row r="120" spans="1:43" ht="20" customHeight="1" x14ac:dyDescent="0.2">
      <c r="A120" s="1"/>
      <c r="B120" s="30" t="s">
        <v>362</v>
      </c>
      <c r="C120" s="36">
        <v>35</v>
      </c>
      <c r="D120" s="36">
        <v>20</v>
      </c>
      <c r="E120" s="26">
        <v>0.18</v>
      </c>
      <c r="F120" s="37">
        <v>1.5</v>
      </c>
      <c r="G120" s="26">
        <v>0.2</v>
      </c>
      <c r="H120" s="93" t="s">
        <v>363</v>
      </c>
      <c r="I120" s="1"/>
      <c r="J120" s="1"/>
      <c r="K120" s="1"/>
      <c r="L120" s="1"/>
      <c r="M120" s="1"/>
      <c r="N120" s="1"/>
      <c r="O120" s="1"/>
      <c r="P120" s="1"/>
      <c r="Q120" s="1"/>
      <c r="R120" s="1"/>
      <c r="S120" s="1"/>
      <c r="T120" s="1"/>
      <c r="U120" s="1"/>
      <c r="V120" s="1"/>
      <c r="W120" s="1"/>
      <c r="X120" s="1"/>
      <c r="Y120" s="1"/>
      <c r="Z120" s="1"/>
      <c r="AA120" s="1"/>
      <c r="AB120" s="1"/>
      <c r="AC120" s="1"/>
      <c r="AD120" s="2"/>
      <c r="AE120" s="2"/>
      <c r="AF120" s="2"/>
      <c r="AG120" s="2"/>
      <c r="AH120" s="2"/>
      <c r="AI120" s="2"/>
      <c r="AJ120" s="2"/>
      <c r="AK120" s="2"/>
      <c r="AL120" s="2"/>
      <c r="AM120" s="2"/>
      <c r="AN120" s="2"/>
      <c r="AO120" s="2"/>
      <c r="AP120" s="2"/>
      <c r="AQ120" s="2"/>
    </row>
    <row r="121" spans="1:43" ht="20" customHeight="1" x14ac:dyDescent="0.2">
      <c r="A121" s="1"/>
      <c r="B121" s="30" t="s">
        <v>364</v>
      </c>
      <c r="C121" s="36">
        <v>40</v>
      </c>
      <c r="D121" s="36">
        <v>40</v>
      </c>
      <c r="E121" s="26">
        <v>0.08</v>
      </c>
      <c r="F121" s="37">
        <v>2.5</v>
      </c>
      <c r="G121" s="26">
        <v>0.12</v>
      </c>
      <c r="H121" s="93" t="s">
        <v>365</v>
      </c>
      <c r="I121" s="1"/>
      <c r="J121" s="1"/>
      <c r="K121" s="1"/>
      <c r="L121" s="1"/>
      <c r="M121" s="1"/>
      <c r="N121" s="1"/>
      <c r="O121" s="1"/>
      <c r="P121" s="1"/>
      <c r="Q121" s="1"/>
      <c r="R121" s="1"/>
      <c r="S121" s="1"/>
      <c r="T121" s="1"/>
      <c r="U121" s="1"/>
      <c r="V121" s="1"/>
      <c r="W121" s="1"/>
      <c r="X121" s="1"/>
      <c r="Y121" s="1"/>
      <c r="Z121" s="1"/>
      <c r="AA121" s="1"/>
      <c r="AB121" s="1"/>
      <c r="AC121" s="1"/>
      <c r="AD121" s="2"/>
      <c r="AE121" s="2"/>
      <c r="AF121" s="2"/>
      <c r="AG121" s="2"/>
      <c r="AH121" s="2"/>
      <c r="AI121" s="2"/>
      <c r="AJ121" s="2"/>
      <c r="AK121" s="2"/>
      <c r="AL121" s="2"/>
      <c r="AM121" s="2"/>
      <c r="AN121" s="2"/>
      <c r="AO121" s="2"/>
      <c r="AP121" s="2"/>
      <c r="AQ121" s="2"/>
    </row>
    <row r="122" spans="1:43" ht="20" customHeight="1" x14ac:dyDescent="0.2">
      <c r="A122" s="1"/>
      <c r="B122" s="30" t="s">
        <v>366</v>
      </c>
      <c r="C122" s="36">
        <v>45</v>
      </c>
      <c r="D122" s="36">
        <v>30</v>
      </c>
      <c r="E122" s="26">
        <v>0.12</v>
      </c>
      <c r="F122" s="37">
        <v>1.5</v>
      </c>
      <c r="G122" s="26">
        <v>0.17</v>
      </c>
      <c r="H122" s="93" t="s">
        <v>367</v>
      </c>
      <c r="I122" s="1"/>
      <c r="J122" s="1"/>
      <c r="K122" s="1"/>
      <c r="L122" s="1"/>
      <c r="M122" s="1"/>
      <c r="N122" s="1"/>
      <c r="O122" s="1"/>
      <c r="P122" s="1"/>
      <c r="Q122" s="1"/>
      <c r="R122" s="1"/>
      <c r="S122" s="1"/>
      <c r="T122" s="1"/>
      <c r="U122" s="1"/>
      <c r="V122" s="1"/>
      <c r="W122" s="1"/>
      <c r="X122" s="1"/>
      <c r="Y122" s="1"/>
      <c r="Z122" s="1"/>
      <c r="AA122" s="1"/>
      <c r="AB122" s="1"/>
      <c r="AC122" s="1"/>
      <c r="AD122" s="2"/>
      <c r="AE122" s="2"/>
      <c r="AF122" s="2"/>
      <c r="AG122" s="2"/>
      <c r="AH122" s="2"/>
      <c r="AI122" s="2"/>
      <c r="AJ122" s="2"/>
      <c r="AK122" s="2"/>
      <c r="AL122" s="2"/>
      <c r="AM122" s="2"/>
      <c r="AN122" s="2"/>
      <c r="AO122" s="2"/>
      <c r="AP122" s="2"/>
      <c r="AQ122" s="2"/>
    </row>
    <row r="123" spans="1:43" x14ac:dyDescent="0.2">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2"/>
      <c r="AE123" s="2"/>
      <c r="AF123" s="2"/>
      <c r="AG123" s="2"/>
      <c r="AH123" s="2"/>
      <c r="AI123" s="2"/>
      <c r="AJ123" s="2"/>
      <c r="AK123" s="2"/>
      <c r="AL123" s="2"/>
      <c r="AM123" s="2"/>
      <c r="AN123" s="2"/>
      <c r="AO123" s="2"/>
      <c r="AP123" s="2"/>
      <c r="AQ123" s="2"/>
    </row>
    <row r="124" spans="1:43" ht="22" customHeight="1" x14ac:dyDescent="0.2">
      <c r="A124" s="1"/>
      <c r="B124" s="19" t="s">
        <v>368</v>
      </c>
      <c r="C124" s="15" t="s">
        <v>369</v>
      </c>
      <c r="D124" s="6"/>
      <c r="E124" s="6"/>
      <c r="F124" s="6"/>
      <c r="G124" s="6"/>
      <c r="H124" s="94"/>
      <c r="I124" s="94"/>
      <c r="J124" s="94"/>
      <c r="K124" s="94"/>
      <c r="L124" s="94"/>
      <c r="M124" s="94"/>
      <c r="N124" s="94"/>
      <c r="O124" s="94"/>
      <c r="P124" s="94"/>
      <c r="Q124" s="94"/>
      <c r="R124" s="94"/>
      <c r="S124" s="94"/>
      <c r="T124" s="94"/>
      <c r="U124" s="94"/>
      <c r="V124" s="94"/>
      <c r="W124" s="94"/>
      <c r="X124" s="94"/>
      <c r="Y124" s="94"/>
      <c r="Z124" s="94"/>
      <c r="AA124" s="94"/>
      <c r="AB124" s="94"/>
      <c r="AC124" s="95"/>
      <c r="AD124" s="2"/>
      <c r="AE124" s="2"/>
      <c r="AF124" s="2"/>
      <c r="AG124" s="2"/>
      <c r="AH124" s="2"/>
      <c r="AI124" s="2"/>
      <c r="AJ124" s="2"/>
      <c r="AK124" s="2"/>
      <c r="AL124" s="2"/>
      <c r="AM124" s="2"/>
      <c r="AN124" s="2"/>
      <c r="AO124" s="2"/>
      <c r="AP124" s="2"/>
      <c r="AQ124" s="2"/>
    </row>
    <row r="125" spans="1:43" ht="22" customHeight="1" x14ac:dyDescent="0.2">
      <c r="A125" s="1"/>
      <c r="B125" s="27" t="s">
        <v>370</v>
      </c>
      <c r="C125" s="28" t="s">
        <v>371</v>
      </c>
      <c r="D125" s="28" t="s">
        <v>372</v>
      </c>
      <c r="E125" s="28" t="s">
        <v>373</v>
      </c>
      <c r="F125" s="38" t="s">
        <v>400</v>
      </c>
      <c r="G125" s="1"/>
      <c r="H125" s="1"/>
      <c r="I125" s="1"/>
      <c r="J125" s="1"/>
      <c r="K125" s="1"/>
      <c r="L125" s="1"/>
      <c r="M125" s="1"/>
      <c r="N125" s="1"/>
      <c r="O125" s="1"/>
      <c r="P125" s="1"/>
      <c r="Q125" s="1"/>
      <c r="R125" s="1"/>
      <c r="S125" s="1"/>
      <c r="T125" s="1"/>
      <c r="U125" s="1"/>
      <c r="V125" s="1"/>
      <c r="W125" s="1"/>
      <c r="X125" s="1"/>
      <c r="Y125" s="1"/>
      <c r="Z125" s="1"/>
      <c r="AA125" s="1"/>
      <c r="AB125" s="1"/>
      <c r="AC125" s="1"/>
      <c r="AD125" s="2"/>
      <c r="AE125" s="2"/>
      <c r="AF125" s="2"/>
      <c r="AG125" s="2"/>
      <c r="AH125" s="2"/>
      <c r="AI125" s="2"/>
      <c r="AJ125" s="2"/>
      <c r="AK125" s="2"/>
      <c r="AL125" s="2"/>
      <c r="AM125" s="2"/>
      <c r="AN125" s="2"/>
      <c r="AO125" s="2"/>
      <c r="AP125" s="2"/>
      <c r="AQ125" s="2"/>
    </row>
    <row r="126" spans="1:43" ht="20" customHeight="1" x14ac:dyDescent="0.2">
      <c r="A126" s="1"/>
      <c r="B126" s="39" t="s">
        <v>2</v>
      </c>
      <c r="C126" s="37">
        <v>1</v>
      </c>
      <c r="D126" s="37">
        <v>1</v>
      </c>
      <c r="E126" s="36">
        <v>0</v>
      </c>
      <c r="F126" s="40">
        <v>0</v>
      </c>
      <c r="G126" s="1"/>
      <c r="H126" s="1"/>
      <c r="I126" s="1"/>
      <c r="J126" s="1"/>
      <c r="K126" s="1"/>
      <c r="L126" s="1"/>
      <c r="M126" s="1"/>
      <c r="N126" s="1"/>
      <c r="O126" s="1"/>
      <c r="P126" s="1"/>
      <c r="Q126" s="1"/>
      <c r="R126" s="1"/>
      <c r="S126" s="1"/>
      <c r="T126" s="1"/>
      <c r="U126" s="1"/>
      <c r="V126" s="1"/>
      <c r="W126" s="1"/>
      <c r="X126" s="1"/>
      <c r="Y126" s="1"/>
      <c r="Z126" s="1"/>
      <c r="AA126" s="1"/>
      <c r="AB126" s="1"/>
      <c r="AC126" s="1"/>
      <c r="AD126" s="2"/>
      <c r="AE126" s="2"/>
      <c r="AF126" s="2"/>
      <c r="AG126" s="2"/>
      <c r="AH126" s="2"/>
      <c r="AI126" s="2"/>
      <c r="AJ126" s="2"/>
      <c r="AK126" s="2"/>
      <c r="AL126" s="2"/>
      <c r="AM126" s="2"/>
      <c r="AN126" s="2"/>
      <c r="AO126" s="2"/>
      <c r="AP126" s="2"/>
      <c r="AQ126" s="2"/>
    </row>
    <row r="127" spans="1:43" ht="20" customHeight="1" x14ac:dyDescent="0.2">
      <c r="A127" s="1"/>
      <c r="B127" s="41" t="s">
        <v>203</v>
      </c>
      <c r="C127" s="37">
        <v>0.85</v>
      </c>
      <c r="D127" s="37">
        <v>1.05</v>
      </c>
      <c r="E127" s="36">
        <v>15</v>
      </c>
      <c r="F127" s="42">
        <v>10</v>
      </c>
      <c r="G127" s="1"/>
      <c r="H127" s="1"/>
      <c r="I127" s="1"/>
      <c r="J127" s="1"/>
      <c r="K127" s="1"/>
      <c r="L127" s="1"/>
      <c r="M127" s="1"/>
      <c r="N127" s="1"/>
      <c r="O127" s="1"/>
      <c r="P127" s="1"/>
      <c r="Q127" s="1"/>
      <c r="R127" s="1"/>
      <c r="S127" s="1"/>
      <c r="T127" s="1"/>
      <c r="U127" s="1"/>
      <c r="V127" s="1"/>
      <c r="W127" s="1"/>
      <c r="X127" s="1"/>
      <c r="Y127" s="1"/>
      <c r="Z127" s="1"/>
      <c r="AA127" s="1"/>
      <c r="AB127" s="1"/>
      <c r="AC127" s="1"/>
      <c r="AD127" s="2"/>
      <c r="AE127" s="2"/>
      <c r="AF127" s="2"/>
      <c r="AG127" s="2"/>
      <c r="AH127" s="2"/>
      <c r="AI127" s="2"/>
      <c r="AJ127" s="2"/>
      <c r="AK127" s="2"/>
      <c r="AL127" s="2"/>
      <c r="AM127" s="2"/>
      <c r="AN127" s="2"/>
      <c r="AO127" s="2"/>
      <c r="AP127" s="2"/>
      <c r="AQ127" s="2"/>
    </row>
    <row r="128" spans="1:43" ht="20" customHeight="1" x14ac:dyDescent="0.2">
      <c r="A128" s="1"/>
      <c r="B128" s="43" t="s">
        <v>204</v>
      </c>
      <c r="C128" s="37">
        <v>1.1000000000000001</v>
      </c>
      <c r="D128" s="37">
        <v>0.98</v>
      </c>
      <c r="E128" s="36">
        <v>-7.5</v>
      </c>
      <c r="F128" s="44">
        <v>-5</v>
      </c>
      <c r="G128" s="1"/>
      <c r="H128" s="1"/>
      <c r="I128" s="1"/>
      <c r="J128" s="1"/>
      <c r="K128" s="1"/>
      <c r="L128" s="1"/>
      <c r="M128" s="1"/>
      <c r="N128" s="1"/>
      <c r="O128" s="1"/>
      <c r="P128" s="1"/>
      <c r="Q128" s="1"/>
      <c r="R128" s="1"/>
      <c r="S128" s="1"/>
      <c r="T128" s="1"/>
      <c r="U128" s="1"/>
      <c r="V128" s="1"/>
      <c r="W128" s="1"/>
      <c r="X128" s="1"/>
      <c r="Y128" s="1"/>
      <c r="Z128" s="1"/>
      <c r="AA128" s="1"/>
      <c r="AB128" s="1"/>
      <c r="AC128" s="1"/>
      <c r="AD128" s="2"/>
      <c r="AE128" s="2"/>
      <c r="AF128" s="2"/>
      <c r="AG128" s="2"/>
      <c r="AH128" s="2"/>
      <c r="AI128" s="2"/>
      <c r="AJ128" s="2"/>
      <c r="AK128" s="2"/>
      <c r="AL128" s="2"/>
      <c r="AM128" s="2"/>
      <c r="AN128" s="2"/>
      <c r="AO128" s="2"/>
      <c r="AP128" s="2"/>
      <c r="AQ128" s="2"/>
    </row>
    <row r="129" spans="1:43" x14ac:dyDescent="0.2">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2"/>
      <c r="AE129" s="2"/>
      <c r="AF129" s="2"/>
      <c r="AG129" s="2"/>
      <c r="AH129" s="2"/>
      <c r="AI129" s="2"/>
      <c r="AJ129" s="2"/>
      <c r="AK129" s="2"/>
      <c r="AL129" s="2"/>
      <c r="AM129" s="2"/>
      <c r="AN129" s="2"/>
      <c r="AO129" s="2"/>
      <c r="AP129" s="2"/>
      <c r="AQ129" s="2"/>
    </row>
    <row r="130" spans="1:43" x14ac:dyDescent="0.2">
      <c r="A130" s="1"/>
      <c r="B130" s="4" t="s">
        <v>105</v>
      </c>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3" t="s">
        <v>106</v>
      </c>
      <c r="AD130" s="2"/>
      <c r="AE130" s="2"/>
      <c r="AF130" s="2"/>
      <c r="AG130" s="2"/>
      <c r="AH130" s="2"/>
      <c r="AI130" s="2"/>
      <c r="AJ130" s="2"/>
      <c r="AK130" s="2"/>
      <c r="AL130" s="2"/>
      <c r="AM130" s="2"/>
      <c r="AN130" s="2"/>
      <c r="AO130" s="2"/>
      <c r="AP130" s="2"/>
      <c r="AQ130" s="2"/>
    </row>
    <row r="131" spans="1:43" x14ac:dyDescent="0.2">
      <c r="A131" s="1"/>
      <c r="B131" s="4"/>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3"/>
      <c r="AD131" s="2"/>
      <c r="AE131" s="2"/>
      <c r="AF131" s="2"/>
      <c r="AG131" s="2"/>
      <c r="AH131" s="2"/>
      <c r="AI131" s="2"/>
      <c r="AJ131" s="2"/>
      <c r="AK131" s="2"/>
      <c r="AL131" s="2"/>
      <c r="AM131" s="2"/>
      <c r="AN131" s="2"/>
      <c r="AO131" s="2"/>
      <c r="AP131" s="2"/>
      <c r="AQ131" s="2"/>
    </row>
  </sheetData>
  <mergeCells count="3">
    <mergeCell ref="C2:Q2"/>
    <mergeCell ref="B3:R3"/>
    <mergeCell ref="B4:R4"/>
  </mergeCells>
  <dataValidations count="12">
    <dataValidation type="decimal" operator="greaterThanOrEqual" allowBlank="1" showInputMessage="1" showErrorMessage="1" errorTitle="Check this entry" error="Enter a number only — no $, commas, k/m, or text. Opening balances should be 0 or positive." sqref="C18:C26" xr:uid="{4976A758-6157-1E45-8D14-5C0791DAD26F}">
      <formula1>0</formula1>
    </dataValidation>
    <dataValidation type="decimal" allowBlank="1" showInputMessage="1" showErrorMessage="1" errorTitle="Check this entry" error="Enter the number of days (0 to 365). No text." sqref="C31:C32" xr:uid="{259D1885-C18C-8C43-86A5-E67027F0EEFC}">
      <formula1>0</formula1>
      <formula2>365</formula2>
    </dataValidation>
    <dataValidation type="decimal" operator="greaterThanOrEqual" allowBlank="1" showInputMessage="1" showErrorMessage="1" errorTitle="Check this entry" error="Enter a number only — no $ or text." sqref="C33:C34" xr:uid="{8335D24C-6A34-ED49-8B8A-CE2F62F8C207}">
      <formula1>0</formula1>
    </dataValidation>
    <dataValidation type="decimal" allowBlank="1" showInputMessage="1" showErrorMessage="1" errorTitle="Check this entry" error="Enter a rate as a decimal, e.g. 0.09 for 9%. Range 0 to 2." sqref="C37" xr:uid="{A6BFDD12-99A5-D940-81F1-B360EEA4FACF}">
      <formula1>0</formula1>
      <formula2>2</formula2>
    </dataValidation>
    <dataValidation type="whole" operator="greaterThanOrEqual" allowBlank="1" showInputMessage="1" showErrorMessage="1" errorTitle="Check this entry" error="Enter a whole number of staff (0 or more)." sqref="C38" xr:uid="{3A4F397A-6509-A546-A544-3B8F9E5668F9}">
      <formula1>0</formula1>
    </dataValidation>
    <dataValidation type="decimal" operator="greaterThanOrEqual" allowBlank="1" showInputMessage="1" showErrorMessage="1" errorTitle="Check this entry" error="Enter annual cost per FTE as a number only." sqref="C39" xr:uid="{EF8063A7-4082-5743-AA36-F1146420CC9A}">
      <formula1>0</formula1>
    </dataValidation>
    <dataValidation type="decimal" allowBlank="1" showInputMessage="1" showErrorMessage="1" errorTitle="Check this entry" error="Enter a tax rate as a decimal, e.g. 0.25 for 25%. Range 0 to 1." sqref="C40" xr:uid="{80FD8F59-D417-C74A-9498-BADACBD05F41}">
      <formula1>0</formula1>
      <formula2>1</formula2>
    </dataValidation>
    <dataValidation type="decimal" operator="greaterThanOrEqual" allowBlank="1" showInputMessage="1" showErrorMessage="1" errorTitle="Check this entry" error="Enter a number, e.g. 3 for 3.0x or 1.25 for DSCR." sqref="C41:C42" xr:uid="{8616732C-FA62-5049-B39D-6EDAECB3EE99}">
      <formula1>0</formula1>
    </dataValidation>
    <dataValidation type="decimal" allowBlank="1" showInputMessage="1" showErrorMessage="1" errorTitle="Check this entry" error="Enter as a decimal, e.g. 0.35 for 35%. Range 0 to 1." sqref="C47 C63 C59 C55 C51" xr:uid="{09955F0C-4336-7345-929A-1F710312E2BA}">
      <formula1>0</formula1>
      <formula2>1</formula2>
    </dataValidation>
    <dataValidation type="decimal" operator="greaterThanOrEqual" allowBlank="1" showInputMessage="1" showErrorMessage="1" errorTitle="Check this entry" error="Enter a number only — no $, commas, k/m, or text." sqref="E48:AB48 E98:AB99 E93:AB94 E89:AB89 E85:AB85 E76:AB81 E68:AB71 E64:AB64 E60:AB60 E56:AB56 E52:AB52" xr:uid="{294564C1-C7DB-B249-87A9-00B0E908DAA1}">
      <formula1>0</formula1>
    </dataValidation>
    <dataValidation type="decimal" allowBlank="1" showInputMessage="1" showErrorMessage="1" errorTitle="Check this entry" error="Enter as a decimal, e.g. 0.25 for 25% of annual tax paid this month. Range 0 to 1." sqref="E103:AB103" xr:uid="{A25AE7A7-7231-E94C-8183-5345DD4CAA8F}">
      <formula1>0</formula1>
      <formula2>1</formula2>
    </dataValidation>
    <dataValidation type="list" allowBlank="1" showInputMessage="1" showErrorMessage="1" sqref="C11" xr:uid="{799292C5-A566-6D4C-88B8-ABDA1615717A}">
      <formula1>"Jan,Feb,Mar,Apr,May,Jun,Jul,Aug,Sep,Oct,Nov,Dec"</formula1>
    </dataValidation>
  </dataValidations>
  <printOptions horizontalCentered="1"/>
  <pageMargins left="0.4" right="0.4" top="0.5" bottom="0.5" header="0.3" footer="0.3"/>
  <pageSetup fitToHeight="0" orientation="portrait"/>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E50FF"/>
  </sheetPr>
  <dimension ref="A1:DI294"/>
  <sheetViews>
    <sheetView showGridLines="0" workbookViewId="0">
      <pane xSplit="2" ySplit="13" topLeftCell="C14" activePane="bottomRight" state="frozen"/>
      <selection pane="topRight"/>
      <selection pane="bottomLeft"/>
      <selection pane="bottomRight" activeCell="G178" sqref="G178"/>
    </sheetView>
  </sheetViews>
  <sheetFormatPr baseColWidth="10" defaultColWidth="8.83203125" defaultRowHeight="15" outlineLevelCol="1" x14ac:dyDescent="0.2"/>
  <cols>
    <col min="1" max="1" width="1.5" style="5" customWidth="1"/>
    <col min="2" max="2" width="38" style="5" customWidth="1"/>
    <col min="3" max="26" width="12" style="5" customWidth="1"/>
    <col min="27" max="27" width="2" style="5" customWidth="1"/>
    <col min="28" max="29" width="14" style="5" customWidth="1"/>
    <col min="30" max="30" width="8.83203125" style="5"/>
    <col min="31" max="112" width="12" style="5" hidden="1" customWidth="1" outlineLevel="1"/>
    <col min="113" max="113" width="8.83203125" style="5" collapsed="1"/>
    <col min="114" max="16384" width="8.83203125" style="5"/>
  </cols>
  <sheetData>
    <row r="1" spans="1:112" ht="8" customHeight="1" x14ac:dyDescent="0.2">
      <c r="A1" s="1"/>
      <c r="B1" s="1"/>
      <c r="C1" s="1"/>
      <c r="D1" s="1"/>
      <c r="E1" s="1"/>
      <c r="F1" s="1"/>
      <c r="G1" s="1"/>
      <c r="H1" s="1"/>
      <c r="I1" s="1"/>
      <c r="J1" s="1"/>
      <c r="K1" s="1"/>
      <c r="L1" s="1"/>
      <c r="M1" s="1"/>
      <c r="N1" s="1"/>
      <c r="O1" s="1"/>
      <c r="P1" s="1"/>
      <c r="Q1" s="1"/>
      <c r="R1" s="1"/>
      <c r="S1" s="1"/>
      <c r="T1" s="1"/>
      <c r="U1" s="1"/>
      <c r="V1" s="6"/>
      <c r="W1" s="6"/>
      <c r="X1" s="6"/>
      <c r="Y1" s="6"/>
      <c r="Z1" s="6"/>
      <c r="AA1" s="1"/>
      <c r="AB1" s="1"/>
      <c r="AC1" s="1"/>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c r="DH1"/>
    </row>
    <row r="2" spans="1:112" ht="22" customHeight="1" x14ac:dyDescent="0.2">
      <c r="A2" s="1"/>
      <c r="B2" s="1"/>
      <c r="C2" s="109" t="s">
        <v>0</v>
      </c>
      <c r="D2" s="104"/>
      <c r="E2" s="104"/>
      <c r="F2" s="104"/>
      <c r="G2" s="104"/>
      <c r="H2" s="104"/>
      <c r="I2" s="104"/>
      <c r="J2" s="104"/>
      <c r="K2" s="104"/>
      <c r="L2" s="104"/>
      <c r="M2" s="104"/>
      <c r="N2" s="104"/>
      <c r="O2" s="104"/>
      <c r="P2" s="104"/>
      <c r="Q2" s="104"/>
      <c r="R2" s="1"/>
      <c r="S2" s="1"/>
      <c r="T2" s="1"/>
      <c r="U2" s="1"/>
      <c r="V2" s="6"/>
      <c r="W2" s="6"/>
      <c r="X2" s="6"/>
      <c r="Y2" s="6"/>
      <c r="Z2" s="6"/>
      <c r="AA2" s="1"/>
      <c r="AB2" s="1"/>
      <c r="AC2" s="1"/>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c r="DH2"/>
    </row>
    <row r="3" spans="1:112" ht="22" customHeight="1" x14ac:dyDescent="0.2">
      <c r="A3" s="1"/>
      <c r="B3" s="110" t="s">
        <v>443</v>
      </c>
      <c r="C3" s="104"/>
      <c r="D3" s="104"/>
      <c r="E3" s="104"/>
      <c r="F3" s="104"/>
      <c r="G3" s="104"/>
      <c r="H3" s="104"/>
      <c r="I3" s="104"/>
      <c r="J3" s="104"/>
      <c r="K3" s="104"/>
      <c r="L3" s="104"/>
      <c r="M3" s="104"/>
      <c r="N3" s="104"/>
      <c r="O3" s="104"/>
      <c r="P3" s="104"/>
      <c r="Q3" s="104"/>
      <c r="R3" s="104"/>
      <c r="S3" s="1"/>
      <c r="T3" s="1"/>
      <c r="U3" s="1"/>
      <c r="V3" s="55" t="s">
        <v>1</v>
      </c>
      <c r="W3" s="118" t="s">
        <v>2</v>
      </c>
      <c r="X3" s="119"/>
      <c r="Y3" s="120"/>
      <c r="Z3" s="6"/>
      <c r="AA3" s="1"/>
      <c r="AB3" s="1"/>
      <c r="AC3" s="1"/>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c r="DH3"/>
    </row>
    <row r="4" spans="1:112" ht="22" customHeight="1" x14ac:dyDescent="0.2">
      <c r="A4" s="1"/>
      <c r="B4" s="110" t="s">
        <v>414</v>
      </c>
      <c r="C4" s="104"/>
      <c r="D4" s="104"/>
      <c r="E4" s="104"/>
      <c r="F4" s="104"/>
      <c r="G4" s="104"/>
      <c r="H4" s="104"/>
      <c r="I4" s="104"/>
      <c r="J4" s="104"/>
      <c r="K4" s="104"/>
      <c r="L4" s="104"/>
      <c r="M4" s="104"/>
      <c r="N4" s="104"/>
      <c r="O4" s="104"/>
      <c r="P4" s="104"/>
      <c r="Q4" s="104"/>
      <c r="R4" s="104"/>
      <c r="S4" s="1"/>
      <c r="T4" s="1"/>
      <c r="U4" s="1"/>
      <c r="V4" s="55" t="s">
        <v>3</v>
      </c>
      <c r="W4" s="118" t="s">
        <v>4</v>
      </c>
      <c r="X4" s="119"/>
      <c r="Y4" s="120"/>
      <c r="Z4" s="6"/>
      <c r="AA4" s="1"/>
      <c r="AB4" s="1"/>
      <c r="AC4" s="1"/>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c r="DH4"/>
    </row>
    <row r="5" spans="1:112" ht="22" customHeight="1" x14ac:dyDescent="0.2">
      <c r="A5" s="1"/>
      <c r="B5" s="1"/>
      <c r="C5" s="1"/>
      <c r="D5" s="1"/>
      <c r="E5" s="1"/>
      <c r="F5" s="1"/>
      <c r="G5" s="1"/>
      <c r="H5" s="1"/>
      <c r="I5" s="1"/>
      <c r="J5" s="1"/>
      <c r="K5" s="1"/>
      <c r="L5" s="1"/>
      <c r="M5" s="1"/>
      <c r="N5" s="1"/>
      <c r="O5" s="1"/>
      <c r="P5" s="1"/>
      <c r="Q5" s="1"/>
      <c r="R5" s="1"/>
      <c r="S5" s="1"/>
      <c r="T5" s="1"/>
      <c r="U5" s="1"/>
      <c r="V5" s="55" t="s">
        <v>5</v>
      </c>
      <c r="W5" s="118" t="s">
        <v>376</v>
      </c>
      <c r="X5" s="119"/>
      <c r="Y5" s="120"/>
      <c r="Z5" s="6"/>
      <c r="AA5" s="1"/>
      <c r="AB5" s="1"/>
      <c r="AC5" s="1"/>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c r="DH5"/>
    </row>
    <row r="6" spans="1:112" ht="22" customHeight="1" x14ac:dyDescent="0.2">
      <c r="A6" s="1"/>
      <c r="B6" s="1"/>
      <c r="C6" s="1"/>
      <c r="D6" s="1"/>
      <c r="E6" s="1"/>
      <c r="F6" s="1"/>
      <c r="G6" s="1"/>
      <c r="H6" s="1"/>
      <c r="I6" s="1"/>
      <c r="J6" s="1"/>
      <c r="K6" s="1"/>
      <c r="L6" s="1"/>
      <c r="M6" s="1"/>
      <c r="N6" s="1"/>
      <c r="O6" s="1"/>
      <c r="P6" s="1"/>
      <c r="Q6" s="1"/>
      <c r="R6" s="1"/>
      <c r="S6" s="1"/>
      <c r="T6" s="1"/>
      <c r="U6" s="1"/>
      <c r="V6" s="6"/>
      <c r="W6" s="6"/>
      <c r="X6" s="6"/>
      <c r="Y6" s="6"/>
      <c r="Z6" s="6"/>
      <c r="AA6" s="1"/>
      <c r="AB6" s="1"/>
      <c r="AC6" s="1"/>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c r="DH6"/>
    </row>
    <row r="7" spans="1:112" ht="18" customHeight="1" x14ac:dyDescent="0.2">
      <c r="A7" s="1"/>
      <c r="B7" s="1"/>
      <c r="C7" s="117" t="s">
        <v>11</v>
      </c>
      <c r="D7" s="114"/>
      <c r="E7" s="114"/>
      <c r="F7" s="114"/>
      <c r="G7" s="114"/>
      <c r="H7" s="114"/>
      <c r="I7" s="117" t="s">
        <v>12</v>
      </c>
      <c r="J7" s="114"/>
      <c r="K7" s="114"/>
      <c r="L7" s="114"/>
      <c r="M7" s="114"/>
      <c r="N7" s="114"/>
      <c r="O7" s="117" t="s">
        <v>13</v>
      </c>
      <c r="P7" s="114"/>
      <c r="Q7" s="114"/>
      <c r="R7" s="114"/>
      <c r="S7" s="114"/>
      <c r="T7" s="114"/>
      <c r="U7" s="117" t="s">
        <v>14</v>
      </c>
      <c r="V7" s="114"/>
      <c r="W7" s="114"/>
      <c r="X7" s="114"/>
      <c r="Y7" s="114"/>
      <c r="Z7" s="114"/>
      <c r="AA7" s="1"/>
      <c r="AB7" s="1"/>
      <c r="AC7" s="1"/>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c r="DH7"/>
    </row>
    <row r="8" spans="1:112" ht="36" customHeight="1" x14ac:dyDescent="0.2">
      <c r="A8" s="1"/>
      <c r="B8" s="1"/>
      <c r="C8" s="113">
        <f>CHOOSE(act_scn_idx,BC190,CD190,DE190)</f>
        <v>0</v>
      </c>
      <c r="D8" s="114"/>
      <c r="E8" s="114"/>
      <c r="F8" s="114"/>
      <c r="G8" s="114"/>
      <c r="H8" s="114"/>
      <c r="I8" s="113">
        <f>CHOOSE(act_scn_idx,BC211,CD211,DE211)</f>
        <v>0</v>
      </c>
      <c r="J8" s="114"/>
      <c r="K8" s="114"/>
      <c r="L8" s="114"/>
      <c r="M8" s="114"/>
      <c r="N8" s="114"/>
      <c r="O8" s="128">
        <f>CHOOSE(act_scn_idx,BC212,CD212,DE212)</f>
        <v>0</v>
      </c>
      <c r="P8" s="114"/>
      <c r="Q8" s="114"/>
      <c r="R8" s="114"/>
      <c r="S8" s="114"/>
      <c r="T8" s="114"/>
      <c r="U8" s="113">
        <f>CHOOSE(act_scn_idx,BC219,CD219,DE219)</f>
        <v>0</v>
      </c>
      <c r="V8" s="114"/>
      <c r="W8" s="114"/>
      <c r="X8" s="114"/>
      <c r="Y8" s="114"/>
      <c r="Z8" s="114"/>
      <c r="AA8" s="1"/>
      <c r="AB8" s="1"/>
      <c r="AC8" s="1"/>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c r="DH8"/>
    </row>
    <row r="9" spans="1:112" ht="18" customHeight="1" x14ac:dyDescent="0.2">
      <c r="A9" s="1"/>
      <c r="B9" s="1"/>
      <c r="C9" s="116" t="s">
        <v>15</v>
      </c>
      <c r="D9" s="114"/>
      <c r="E9" s="114"/>
      <c r="F9" s="114"/>
      <c r="G9" s="114"/>
      <c r="H9" s="114"/>
      <c r="I9" s="116" t="s">
        <v>16</v>
      </c>
      <c r="J9" s="114"/>
      <c r="K9" s="114"/>
      <c r="L9" s="114"/>
      <c r="M9" s="114"/>
      <c r="N9" s="114"/>
      <c r="O9" s="116" t="s">
        <v>17</v>
      </c>
      <c r="P9" s="114"/>
      <c r="Q9" s="114"/>
      <c r="R9" s="114"/>
      <c r="S9" s="114"/>
      <c r="T9" s="114"/>
      <c r="U9" s="116" t="s">
        <v>18</v>
      </c>
      <c r="V9" s="114"/>
      <c r="W9" s="114"/>
      <c r="X9" s="114"/>
      <c r="Y9" s="114"/>
      <c r="Z9" s="114"/>
      <c r="AA9" s="1"/>
      <c r="AB9" s="1"/>
      <c r="AC9" s="1"/>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c r="DH9"/>
    </row>
    <row r="10" spans="1:112" ht="18" customHeight="1" x14ac:dyDescent="0.2">
      <c r="A10" s="1"/>
      <c r="B10" s="1"/>
      <c r="C10" s="117" t="s">
        <v>19</v>
      </c>
      <c r="D10" s="114"/>
      <c r="E10" s="114"/>
      <c r="F10" s="114"/>
      <c r="G10" s="114"/>
      <c r="H10" s="114"/>
      <c r="I10" s="117" t="s">
        <v>20</v>
      </c>
      <c r="J10" s="114"/>
      <c r="K10" s="114"/>
      <c r="L10" s="114"/>
      <c r="M10" s="114"/>
      <c r="N10" s="114"/>
      <c r="O10" s="117" t="s">
        <v>21</v>
      </c>
      <c r="P10" s="114"/>
      <c r="Q10" s="114"/>
      <c r="R10" s="114"/>
      <c r="S10" s="114"/>
      <c r="T10" s="114"/>
      <c r="U10" s="117" t="s">
        <v>22</v>
      </c>
      <c r="V10" s="114"/>
      <c r="W10" s="114"/>
      <c r="X10" s="114"/>
      <c r="Y10" s="114"/>
      <c r="Z10" s="114"/>
      <c r="AA10" s="1"/>
      <c r="AB10" s="1"/>
      <c r="AC10" s="1"/>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c r="DH10"/>
    </row>
    <row r="11" spans="1:112" ht="36" customHeight="1" x14ac:dyDescent="0.2">
      <c r="A11" s="1"/>
      <c r="B11" s="1"/>
      <c r="C11" s="113">
        <f>CHOOSE(act_scn_idx,INDEX(AE248:BB248,act_horizon_n),INDEX(BF248:CC248,act_horizon_n),INDEX(CG248:DD248,act_horizon_n))</f>
        <v>0</v>
      </c>
      <c r="D11" s="114"/>
      <c r="E11" s="114"/>
      <c r="F11" s="114"/>
      <c r="G11" s="114"/>
      <c r="H11" s="114"/>
      <c r="I11" s="113">
        <f>CHOOSE(act_scn_idx,INDEX(AE261:BB261,act_horizon_n),INDEX(BF261:CC261,act_horizon_n),INDEX(CG261:DD261,act_horizon_n))</f>
        <v>0</v>
      </c>
      <c r="J11" s="114"/>
      <c r="K11" s="114"/>
      <c r="L11" s="114"/>
      <c r="M11" s="114"/>
      <c r="N11" s="114"/>
      <c r="O11" s="113">
        <f>CHOOSE(act_scn_idx,INDEX(AE269:BB269,act_horizon_n),INDEX(BF269:CC269,act_horizon_n),INDEX(CG269:DD269,act_horizon_n))</f>
        <v>0</v>
      </c>
      <c r="P11" s="114"/>
      <c r="Q11" s="114"/>
      <c r="R11" s="114"/>
      <c r="S11" s="114"/>
      <c r="T11" s="114"/>
      <c r="U11" s="129">
        <f>CHOOSE(act_scn_idx,MAX(AE250:AP250)-MIN(AE257:AP257),MAX(BF250:BQ250)-MIN(BF257:BQ257),MAX(CG250:CR250)-MIN(CG257:CR257))</f>
        <v>0</v>
      </c>
      <c r="V11" s="114"/>
      <c r="W11" s="114"/>
      <c r="X11" s="114"/>
      <c r="Y11" s="114"/>
      <c r="Z11" s="114"/>
      <c r="AA11" s="1"/>
      <c r="AB11" s="1"/>
      <c r="AC11" s="1"/>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c r="DH11"/>
    </row>
    <row r="12" spans="1:112" ht="18" customHeight="1" x14ac:dyDescent="0.2">
      <c r="A12" s="1"/>
      <c r="B12" s="1"/>
      <c r="C12" s="116" t="s">
        <v>23</v>
      </c>
      <c r="D12" s="114"/>
      <c r="E12" s="114"/>
      <c r="F12" s="114"/>
      <c r="G12" s="114"/>
      <c r="H12" s="114"/>
      <c r="I12" s="116" t="s">
        <v>24</v>
      </c>
      <c r="J12" s="114"/>
      <c r="K12" s="114"/>
      <c r="L12" s="114"/>
      <c r="M12" s="114"/>
      <c r="N12" s="114"/>
      <c r="O12" s="116" t="s">
        <v>25</v>
      </c>
      <c r="P12" s="114"/>
      <c r="Q12" s="114"/>
      <c r="R12" s="114"/>
      <c r="S12" s="114"/>
      <c r="T12" s="114"/>
      <c r="U12" s="116" t="s">
        <v>26</v>
      </c>
      <c r="V12" s="114"/>
      <c r="W12" s="114"/>
      <c r="X12" s="114"/>
      <c r="Y12" s="114"/>
      <c r="Z12" s="114"/>
      <c r="AA12" s="1"/>
      <c r="AB12" s="1"/>
      <c r="AC12" s="1"/>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c r="DH12"/>
    </row>
    <row r="13" spans="1:112" ht="6" customHeight="1" x14ac:dyDescent="0.2">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c r="DH13"/>
    </row>
    <row r="14" spans="1:112" x14ac:dyDescent="0.2">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c r="DH14"/>
    </row>
    <row r="15" spans="1:112" ht="17" x14ac:dyDescent="0.2">
      <c r="A15" s="1"/>
      <c r="B15" s="136" t="s">
        <v>27</v>
      </c>
      <c r="C15" s="114"/>
      <c r="D15" s="114"/>
      <c r="E15" s="114"/>
      <c r="F15" s="114"/>
      <c r="G15" s="114"/>
      <c r="H15" s="114"/>
      <c r="I15" s="114"/>
      <c r="J15" s="114"/>
      <c r="K15" s="114"/>
      <c r="L15" s="114"/>
      <c r="M15" s="114"/>
      <c r="N15" s="114"/>
      <c r="O15" s="114"/>
      <c r="P15" s="114"/>
      <c r="Q15" s="114"/>
      <c r="R15" s="114"/>
      <c r="S15" s="114"/>
      <c r="T15" s="114"/>
      <c r="U15" s="114"/>
      <c r="V15" s="114"/>
      <c r="W15" s="114"/>
      <c r="X15" s="114"/>
      <c r="Y15" s="114"/>
      <c r="Z15" s="114"/>
      <c r="AA15" s="114"/>
      <c r="AB15" s="114"/>
      <c r="AC15" s="114"/>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c r="DH15"/>
    </row>
    <row r="16" spans="1:112" x14ac:dyDescent="0.2">
      <c r="A16" s="1"/>
      <c r="B16" s="56" t="s">
        <v>28</v>
      </c>
      <c r="C16" s="1"/>
      <c r="D16" s="1"/>
      <c r="E16" s="1"/>
      <c r="F16" s="1"/>
      <c r="G16" s="1"/>
      <c r="H16" s="1"/>
      <c r="I16" s="1"/>
      <c r="J16" s="56" t="s">
        <v>29</v>
      </c>
      <c r="K16" s="1"/>
      <c r="L16" s="1"/>
      <c r="M16" s="1"/>
      <c r="N16" s="1"/>
      <c r="O16" s="1"/>
      <c r="P16" s="1"/>
      <c r="Q16" s="1"/>
      <c r="R16" s="1"/>
      <c r="S16" s="1"/>
      <c r="T16" s="56" t="s">
        <v>30</v>
      </c>
      <c r="U16" s="1"/>
      <c r="V16" s="1"/>
      <c r="W16" s="1"/>
      <c r="X16" s="1"/>
      <c r="Y16" s="1"/>
      <c r="Z16" s="1"/>
      <c r="AA16" s="1"/>
      <c r="AB16" s="1"/>
      <c r="AC16" s="1"/>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c r="DH16"/>
    </row>
    <row r="17" spans="1:112" x14ac:dyDescent="0.2">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c r="DH17"/>
    </row>
    <row r="18" spans="1:112" x14ac:dyDescent="0.2">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c r="DH18"/>
    </row>
    <row r="19" spans="1:112" x14ac:dyDescent="0.2">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c r="DH19"/>
    </row>
    <row r="20" spans="1:112" x14ac:dyDescent="0.2">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c r="DH20"/>
    </row>
    <row r="21" spans="1:112" x14ac:dyDescent="0.2">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c r="DH21"/>
    </row>
    <row r="22" spans="1:112" x14ac:dyDescent="0.2">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c r="DH22"/>
    </row>
    <row r="23" spans="1:112" x14ac:dyDescent="0.2">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c r="DH23"/>
    </row>
    <row r="24" spans="1:112" x14ac:dyDescent="0.2">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c r="DH24"/>
    </row>
    <row r="25" spans="1:112" x14ac:dyDescent="0.2">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c r="DH25"/>
    </row>
    <row r="26" spans="1:112" x14ac:dyDescent="0.2">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c r="DH26"/>
    </row>
    <row r="27" spans="1:112" x14ac:dyDescent="0.2">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c r="DH27"/>
    </row>
    <row r="28" spans="1:112" x14ac:dyDescent="0.2">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c r="DH28"/>
    </row>
    <row r="29" spans="1:112" x14ac:dyDescent="0.2">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c r="DH29"/>
    </row>
    <row r="30" spans="1:112" x14ac:dyDescent="0.2">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c r="DH30"/>
    </row>
    <row r="31" spans="1:112" x14ac:dyDescent="0.2">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c r="DH31"/>
    </row>
    <row r="32" spans="1:112" x14ac:dyDescent="0.2">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c r="DH32"/>
    </row>
    <row r="33" spans="1:112" x14ac:dyDescent="0.2">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c r="DH33"/>
    </row>
    <row r="34" spans="1:112" x14ac:dyDescent="0.2">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c r="DH34"/>
    </row>
    <row r="35" spans="1:112" x14ac:dyDescent="0.2">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c r="DH35"/>
    </row>
    <row r="36" spans="1:112" x14ac:dyDescent="0.2">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c r="DH36"/>
    </row>
    <row r="37" spans="1:112" x14ac:dyDescent="0.2">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c r="DH37"/>
    </row>
    <row r="38" spans="1:112" x14ac:dyDescent="0.2">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c r="DH38"/>
    </row>
    <row r="39" spans="1:112" x14ac:dyDescent="0.2">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c r="DH39"/>
    </row>
    <row r="40" spans="1:112" ht="22" customHeight="1" x14ac:dyDescent="0.2">
      <c r="A40" s="1"/>
      <c r="B40" s="57" t="s">
        <v>31</v>
      </c>
      <c r="C40" s="20"/>
      <c r="D40" s="20"/>
      <c r="E40" s="20"/>
      <c r="F40" s="20"/>
      <c r="G40" s="20"/>
      <c r="H40" s="20"/>
      <c r="I40" s="20"/>
      <c r="J40" s="20"/>
      <c r="K40" s="20"/>
      <c r="L40" s="20"/>
      <c r="M40" s="20"/>
      <c r="N40" s="20"/>
      <c r="O40" s="20"/>
      <c r="P40" s="20"/>
      <c r="Q40" s="20"/>
      <c r="R40" s="20"/>
      <c r="S40" s="20"/>
      <c r="T40" s="20"/>
      <c r="U40" s="20"/>
      <c r="V40" s="20"/>
      <c r="W40" s="20"/>
      <c r="X40" s="20"/>
      <c r="Y40" s="20"/>
      <c r="Z40" s="20"/>
      <c r="AA40" s="20"/>
      <c r="AB40" s="20"/>
      <c r="AC40" s="21" t="s">
        <v>32</v>
      </c>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c r="DH40"/>
    </row>
    <row r="41" spans="1:112" ht="22" customHeight="1" x14ac:dyDescent="0.2">
      <c r="A41" s="1"/>
      <c r="B41" s="27" t="s">
        <v>33</v>
      </c>
      <c r="C41" s="132" t="s">
        <v>34</v>
      </c>
      <c r="D41" s="112"/>
      <c r="E41" s="112"/>
      <c r="F41" s="112"/>
      <c r="G41" s="112"/>
      <c r="H41" s="112"/>
      <c r="I41" s="112"/>
      <c r="J41" s="112"/>
      <c r="K41" s="131" t="s">
        <v>35</v>
      </c>
      <c r="L41" s="112"/>
      <c r="M41" s="112"/>
      <c r="N41" s="112"/>
      <c r="O41" s="112"/>
      <c r="P41" s="112"/>
      <c r="Q41" s="112"/>
      <c r="R41" s="111" t="s">
        <v>36</v>
      </c>
      <c r="S41" s="112"/>
      <c r="T41" s="112"/>
      <c r="U41" s="112"/>
      <c r="V41" s="112"/>
      <c r="W41" s="112"/>
      <c r="X41" s="112"/>
      <c r="Y41" s="112"/>
      <c r="Z41" s="112"/>
      <c r="AA41" s="1"/>
      <c r="AB41" s="1"/>
      <c r="AC41" s="1"/>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c r="DH41"/>
    </row>
    <row r="42" spans="1:112" ht="22" customHeight="1" x14ac:dyDescent="0.2">
      <c r="A42" s="1"/>
      <c r="B42" s="30" t="s">
        <v>37</v>
      </c>
      <c r="C42" s="126">
        <f>BC190</f>
        <v>0</v>
      </c>
      <c r="D42" s="104"/>
      <c r="E42" s="104"/>
      <c r="F42" s="104"/>
      <c r="G42" s="104"/>
      <c r="H42" s="104"/>
      <c r="I42" s="104"/>
      <c r="J42" s="104"/>
      <c r="K42" s="126">
        <f>CD190</f>
        <v>0</v>
      </c>
      <c r="L42" s="104"/>
      <c r="M42" s="104"/>
      <c r="N42" s="104"/>
      <c r="O42" s="104"/>
      <c r="P42" s="104"/>
      <c r="Q42" s="104"/>
      <c r="R42" s="126">
        <f>DE190</f>
        <v>0</v>
      </c>
      <c r="S42" s="104"/>
      <c r="T42" s="104"/>
      <c r="U42" s="104"/>
      <c r="V42" s="104"/>
      <c r="W42" s="104"/>
      <c r="X42" s="104"/>
      <c r="Y42" s="104"/>
      <c r="Z42" s="104"/>
      <c r="AA42" s="1"/>
      <c r="AB42" s="1"/>
      <c r="AC42" s="1"/>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c r="DH42"/>
    </row>
    <row r="43" spans="1:112" ht="22" customHeight="1" x14ac:dyDescent="0.2">
      <c r="A43" s="1"/>
      <c r="B43" s="30" t="s">
        <v>12</v>
      </c>
      <c r="C43" s="126">
        <f>BC211</f>
        <v>0</v>
      </c>
      <c r="D43" s="104"/>
      <c r="E43" s="104"/>
      <c r="F43" s="104"/>
      <c r="G43" s="104"/>
      <c r="H43" s="104"/>
      <c r="I43" s="104"/>
      <c r="J43" s="104"/>
      <c r="K43" s="126">
        <f>CD211</f>
        <v>0</v>
      </c>
      <c r="L43" s="104"/>
      <c r="M43" s="104"/>
      <c r="N43" s="104"/>
      <c r="O43" s="104"/>
      <c r="P43" s="104"/>
      <c r="Q43" s="104"/>
      <c r="R43" s="126">
        <f>DE211</f>
        <v>0</v>
      </c>
      <c r="S43" s="104"/>
      <c r="T43" s="104"/>
      <c r="U43" s="104"/>
      <c r="V43" s="104"/>
      <c r="W43" s="104"/>
      <c r="X43" s="104"/>
      <c r="Y43" s="104"/>
      <c r="Z43" s="104"/>
      <c r="AA43" s="1"/>
      <c r="AB43" s="1"/>
      <c r="AC43" s="1"/>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c r="DH43"/>
    </row>
    <row r="44" spans="1:112" ht="22" customHeight="1" x14ac:dyDescent="0.2">
      <c r="A44" s="1"/>
      <c r="B44" s="22" t="s">
        <v>38</v>
      </c>
      <c r="C44" s="126">
        <f>INDEX(AE248:BB248,act_horizon_n)</f>
        <v>0</v>
      </c>
      <c r="D44" s="104"/>
      <c r="E44" s="104"/>
      <c r="F44" s="104"/>
      <c r="G44" s="104"/>
      <c r="H44" s="104"/>
      <c r="I44" s="104"/>
      <c r="J44" s="104"/>
      <c r="K44" s="126">
        <f>INDEX(BF248:CC248,act_horizon_n)</f>
        <v>0</v>
      </c>
      <c r="L44" s="104"/>
      <c r="M44" s="104"/>
      <c r="N44" s="104"/>
      <c r="O44" s="104"/>
      <c r="P44" s="104"/>
      <c r="Q44" s="104"/>
      <c r="R44" s="126">
        <f>INDEX(CG248:DD248,act_horizon_n)</f>
        <v>0</v>
      </c>
      <c r="S44" s="104"/>
      <c r="T44" s="104"/>
      <c r="U44" s="104"/>
      <c r="V44" s="104"/>
      <c r="W44" s="104"/>
      <c r="X44" s="104"/>
      <c r="Y44" s="104"/>
      <c r="Z44" s="104"/>
      <c r="AA44" s="1"/>
      <c r="AB44" s="1"/>
      <c r="AC44" s="1"/>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c r="DH44"/>
    </row>
    <row r="45" spans="1:112" ht="22" customHeight="1" x14ac:dyDescent="0.2">
      <c r="A45" s="1"/>
      <c r="B45" s="22" t="s">
        <v>39</v>
      </c>
      <c r="C45" s="126">
        <f>INDEX(AE261:BB261,act_horizon_n)</f>
        <v>0</v>
      </c>
      <c r="D45" s="104"/>
      <c r="E45" s="104"/>
      <c r="F45" s="104"/>
      <c r="G45" s="104"/>
      <c r="H45" s="104"/>
      <c r="I45" s="104"/>
      <c r="J45" s="104"/>
      <c r="K45" s="126">
        <f>INDEX(BF261:CC261,act_horizon_n)</f>
        <v>0</v>
      </c>
      <c r="L45" s="104"/>
      <c r="M45" s="104"/>
      <c r="N45" s="104"/>
      <c r="O45" s="104"/>
      <c r="P45" s="104"/>
      <c r="Q45" s="104"/>
      <c r="R45" s="126">
        <f>INDEX(CG261:DD261,act_horizon_n)</f>
        <v>0</v>
      </c>
      <c r="S45" s="104"/>
      <c r="T45" s="104"/>
      <c r="U45" s="104"/>
      <c r="V45" s="104"/>
      <c r="W45" s="104"/>
      <c r="X45" s="104"/>
      <c r="Y45" s="104"/>
      <c r="Z45" s="104"/>
      <c r="AA45" s="1"/>
      <c r="AB45" s="1"/>
      <c r="AC45" s="1"/>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c r="DH45"/>
    </row>
    <row r="46" spans="1:112" ht="22" customHeight="1" x14ac:dyDescent="0.2">
      <c r="A46" s="1"/>
      <c r="B46" s="22" t="s">
        <v>40</v>
      </c>
      <c r="C46" s="126">
        <f>INDEX(AE269:BB269,act_horizon_n)</f>
        <v>0</v>
      </c>
      <c r="D46" s="104"/>
      <c r="E46" s="104"/>
      <c r="F46" s="104"/>
      <c r="G46" s="104"/>
      <c r="H46" s="104"/>
      <c r="I46" s="104"/>
      <c r="J46" s="104"/>
      <c r="K46" s="126">
        <f>INDEX(BF269:CC269,act_horizon_n)</f>
        <v>0</v>
      </c>
      <c r="L46" s="104"/>
      <c r="M46" s="104"/>
      <c r="N46" s="104"/>
      <c r="O46" s="104"/>
      <c r="P46" s="104"/>
      <c r="Q46" s="104"/>
      <c r="R46" s="126">
        <f>INDEX(CG269:DD269,act_horizon_n)</f>
        <v>0</v>
      </c>
      <c r="S46" s="104"/>
      <c r="T46" s="104"/>
      <c r="U46" s="104"/>
      <c r="V46" s="104"/>
      <c r="W46" s="104"/>
      <c r="X46" s="104"/>
      <c r="Y46" s="104"/>
      <c r="Z46" s="104"/>
      <c r="AA46" s="1"/>
      <c r="AB46" s="1"/>
      <c r="AC46" s="1"/>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c r="DH46"/>
    </row>
    <row r="47" spans="1:112" x14ac:dyDescent="0.2">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c r="DH47"/>
    </row>
    <row r="48" spans="1:112" ht="28" customHeight="1" x14ac:dyDescent="0.2">
      <c r="A48" s="1"/>
      <c r="B48" s="58" t="str">
        <f>"INTEGRATED VIEW · "&amp;UPPER(inp_view)</f>
        <v>INTEGRATED VIEW · ALL THREE</v>
      </c>
      <c r="C48" s="20"/>
      <c r="D48" s="20"/>
      <c r="E48" s="20"/>
      <c r="F48" s="20"/>
      <c r="G48" s="20"/>
      <c r="H48" s="20"/>
      <c r="I48" s="20"/>
      <c r="J48" s="20"/>
      <c r="K48" s="20"/>
      <c r="L48" s="20"/>
      <c r="M48" s="20"/>
      <c r="N48" s="20"/>
      <c r="O48" s="20"/>
      <c r="P48" s="20"/>
      <c r="Q48" s="20"/>
      <c r="R48" s="20"/>
      <c r="S48" s="20"/>
      <c r="T48" s="20"/>
      <c r="U48" s="20"/>
      <c r="V48" s="20"/>
      <c r="W48" s="20"/>
      <c r="X48" s="20"/>
      <c r="Y48" s="20"/>
      <c r="Z48" s="20"/>
      <c r="AA48" s="20"/>
      <c r="AB48" s="20"/>
      <c r="AC48" s="21" t="str">
        <f>"Active scenario: "&amp;UPPER(inp_scenario)&amp;" · Horizon: "&amp;inp_horizon</f>
        <v>Active scenario: BASE · Horizon: 24 months</v>
      </c>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c r="DH48"/>
    </row>
    <row r="49" spans="1:112" ht="24" customHeight="1" x14ac:dyDescent="0.2">
      <c r="A49" s="1"/>
      <c r="B49" s="27"/>
      <c r="C49" s="28" t="str">
        <f t="shared" ref="C49:Z49" si="0">IF((COLUMN()-COLUMN($C$49)+1)&gt;act_horizon_n,"","M"&amp;(COLUMN()-COLUMN($C$49)+1)&amp;" · "&amp;CHOOSE(MOD(inp_fy_start_month-1+(COLUMN()-COLUMN($C$49)),12)+1,"Jan","Feb","Mar","Apr","May","Jun","Jul","Aug","Sep","Oct","Nov","Dec"))</f>
        <v>M1 · Jul</v>
      </c>
      <c r="D49" s="28" t="str">
        <f t="shared" si="0"/>
        <v>M2 · Aug</v>
      </c>
      <c r="E49" s="28" t="str">
        <f t="shared" si="0"/>
        <v>M3 · Sep</v>
      </c>
      <c r="F49" s="28" t="str">
        <f t="shared" si="0"/>
        <v>M4 · Oct</v>
      </c>
      <c r="G49" s="28" t="str">
        <f t="shared" si="0"/>
        <v>M5 · Nov</v>
      </c>
      <c r="H49" s="28" t="str">
        <f t="shared" si="0"/>
        <v>M6 · Dec</v>
      </c>
      <c r="I49" s="28" t="str">
        <f t="shared" si="0"/>
        <v>M7 · Jan</v>
      </c>
      <c r="J49" s="28" t="str">
        <f t="shared" si="0"/>
        <v>M8 · Feb</v>
      </c>
      <c r="K49" s="28" t="str">
        <f t="shared" si="0"/>
        <v>M9 · Mar</v>
      </c>
      <c r="L49" s="28" t="str">
        <f t="shared" si="0"/>
        <v>M10 · Apr</v>
      </c>
      <c r="M49" s="28" t="str">
        <f t="shared" si="0"/>
        <v>M11 · May</v>
      </c>
      <c r="N49" s="28" t="str">
        <f t="shared" si="0"/>
        <v>M12 · Jun</v>
      </c>
      <c r="O49" s="28" t="str">
        <f t="shared" si="0"/>
        <v>M13 · Jul</v>
      </c>
      <c r="P49" s="28" t="str">
        <f t="shared" si="0"/>
        <v>M14 · Aug</v>
      </c>
      <c r="Q49" s="28" t="str">
        <f t="shared" si="0"/>
        <v>M15 · Sep</v>
      </c>
      <c r="R49" s="28" t="str">
        <f t="shared" si="0"/>
        <v>M16 · Oct</v>
      </c>
      <c r="S49" s="28" t="str">
        <f t="shared" si="0"/>
        <v>M17 · Nov</v>
      </c>
      <c r="T49" s="28" t="str">
        <f t="shared" si="0"/>
        <v>M18 · Dec</v>
      </c>
      <c r="U49" s="28" t="str">
        <f t="shared" si="0"/>
        <v>M19 · Jan</v>
      </c>
      <c r="V49" s="28" t="str">
        <f t="shared" si="0"/>
        <v>M20 · Feb</v>
      </c>
      <c r="W49" s="28" t="str">
        <f t="shared" si="0"/>
        <v>M21 · Mar</v>
      </c>
      <c r="X49" s="28" t="str">
        <f t="shared" si="0"/>
        <v>M22 · Apr</v>
      </c>
      <c r="Y49" s="28" t="str">
        <f t="shared" si="0"/>
        <v>M23 · May</v>
      </c>
      <c r="Z49" s="28" t="str">
        <f t="shared" si="0"/>
        <v>M24 · Jun</v>
      </c>
      <c r="AA49" s="1"/>
      <c r="AB49" s="59" t="s">
        <v>41</v>
      </c>
      <c r="AC49" s="59" t="str">
        <f>IF(act_horizon_n&lt;24,"","Y2 total")</f>
        <v>Y2 total</v>
      </c>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c r="DH49"/>
    </row>
    <row r="50" spans="1:112" ht="20" customHeight="1" x14ac:dyDescent="0.2">
      <c r="A50" s="1"/>
      <c r="B50" s="60" t="str">
        <f>IF(OR(act_view_idx=1,act_view_idx=4),"■ INCOME STATEMENT (P&amp;L)","")</f>
        <v>■ INCOME STATEMENT (P&amp;L)</v>
      </c>
      <c r="C50" s="20"/>
      <c r="D50" s="20"/>
      <c r="E50" s="20"/>
      <c r="F50" s="20"/>
      <c r="G50" s="20"/>
      <c r="H50" s="20"/>
      <c r="I50" s="20"/>
      <c r="J50" s="20"/>
      <c r="K50" s="20"/>
      <c r="L50" s="20"/>
      <c r="M50" s="20"/>
      <c r="N50" s="20"/>
      <c r="O50" s="20"/>
      <c r="P50" s="20"/>
      <c r="Q50" s="20"/>
      <c r="R50" s="20"/>
      <c r="S50" s="20"/>
      <c r="T50" s="20"/>
      <c r="U50" s="20"/>
      <c r="V50" s="20"/>
      <c r="W50" s="20"/>
      <c r="X50" s="20"/>
      <c r="Y50" s="20"/>
      <c r="Z50" s="20"/>
      <c r="AA50" s="20"/>
      <c r="AB50" s="20"/>
      <c r="AC50" s="20"/>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c r="DH50"/>
    </row>
    <row r="51" spans="1:112" ht="20" customHeight="1" x14ac:dyDescent="0.2">
      <c r="A51" s="1"/>
      <c r="B51" s="61" t="str">
        <f>IF(OR(act_view_idx=1,act_view_idx=4),"REVENUE","")</f>
        <v>REVENUE</v>
      </c>
      <c r="C51" s="2"/>
      <c r="D51" s="2"/>
      <c r="E51" s="2"/>
      <c r="F51" s="2"/>
      <c r="G51" s="2"/>
      <c r="H51" s="2"/>
      <c r="I51" s="2"/>
      <c r="J51" s="2"/>
      <c r="K51" s="2"/>
      <c r="L51" s="2"/>
      <c r="M51" s="2"/>
      <c r="N51" s="2"/>
      <c r="O51" s="2"/>
      <c r="P51" s="2"/>
      <c r="Q51" s="2"/>
      <c r="R51" s="2"/>
      <c r="S51" s="2"/>
      <c r="T51" s="2"/>
      <c r="U51" s="2"/>
      <c r="V51" s="2"/>
      <c r="W51" s="2"/>
      <c r="X51" s="2"/>
      <c r="Y51" s="2"/>
      <c r="Z51" s="2"/>
      <c r="AA51" s="1"/>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c r="DH51"/>
    </row>
    <row r="52" spans="1:112" ht="20" customHeight="1" x14ac:dyDescent="0.2">
      <c r="A52" s="1"/>
      <c r="B52" s="22" t="str">
        <f>IF(OR(act_view_idx=1,act_view_idx=4),"   "&amp;inp_sl1_name,"")</f>
        <v xml:space="preserve">   Retained services</v>
      </c>
      <c r="C52" s="62">
        <f t="shared" ref="C52:C57" si="1">IF(AND(OR(act_view_idx=1,act_view_idx=4),1&lt;=act_horizon_n),CHOOSE(act_scn_idx,AE185,BF185,CG185),"")</f>
        <v>0</v>
      </c>
      <c r="D52" s="62">
        <f t="shared" ref="D52:D57" si="2">IF(AND(OR(act_view_idx=1,act_view_idx=4),2&lt;=act_horizon_n),CHOOSE(act_scn_idx,AF185,BG185,CH185),"")</f>
        <v>0</v>
      </c>
      <c r="E52" s="62">
        <f t="shared" ref="E52:E57" si="3">IF(AND(OR(act_view_idx=1,act_view_idx=4),3&lt;=act_horizon_n),CHOOSE(act_scn_idx,AG185,BH185,CI185),"")</f>
        <v>0</v>
      </c>
      <c r="F52" s="62">
        <f t="shared" ref="F52:F57" si="4">IF(AND(OR(act_view_idx=1,act_view_idx=4),4&lt;=act_horizon_n),CHOOSE(act_scn_idx,AH185,BI185,CJ185),"")</f>
        <v>0</v>
      </c>
      <c r="G52" s="62">
        <f t="shared" ref="G52:G57" si="5">IF(AND(OR(act_view_idx=1,act_view_idx=4),5&lt;=act_horizon_n),CHOOSE(act_scn_idx,AI185,BJ185,CK185),"")</f>
        <v>0</v>
      </c>
      <c r="H52" s="62">
        <f t="shared" ref="H52:H57" si="6">IF(AND(OR(act_view_idx=1,act_view_idx=4),6&lt;=act_horizon_n),CHOOSE(act_scn_idx,AJ185,BK185,CL185),"")</f>
        <v>0</v>
      </c>
      <c r="I52" s="62">
        <f t="shared" ref="I52:I57" si="7">IF(AND(OR(act_view_idx=1,act_view_idx=4),7&lt;=act_horizon_n),CHOOSE(act_scn_idx,AK185,BL185,CM185),"")</f>
        <v>0</v>
      </c>
      <c r="J52" s="62">
        <f t="shared" ref="J52:J57" si="8">IF(AND(OR(act_view_idx=1,act_view_idx=4),8&lt;=act_horizon_n),CHOOSE(act_scn_idx,AL185,BM185,CN185),"")</f>
        <v>0</v>
      </c>
      <c r="K52" s="62">
        <f t="shared" ref="K52:K57" si="9">IF(AND(OR(act_view_idx=1,act_view_idx=4),9&lt;=act_horizon_n),CHOOSE(act_scn_idx,AM185,BN185,CO185),"")</f>
        <v>0</v>
      </c>
      <c r="L52" s="62">
        <f t="shared" ref="L52:L57" si="10">IF(AND(OR(act_view_idx=1,act_view_idx=4),10&lt;=act_horizon_n),CHOOSE(act_scn_idx,AN185,BO185,CP185),"")</f>
        <v>0</v>
      </c>
      <c r="M52" s="62">
        <f t="shared" ref="M52:M57" si="11">IF(AND(OR(act_view_idx=1,act_view_idx=4),11&lt;=act_horizon_n),CHOOSE(act_scn_idx,AO185,BP185,CQ185),"")</f>
        <v>0</v>
      </c>
      <c r="N52" s="62">
        <f t="shared" ref="N52:N57" si="12">IF(AND(OR(act_view_idx=1,act_view_idx=4),12&lt;=act_horizon_n),CHOOSE(act_scn_idx,AP185,BQ185,CR185),"")</f>
        <v>0</v>
      </c>
      <c r="O52" s="62">
        <f t="shared" ref="O52:O57" si="13">IF(AND(OR(act_view_idx=1,act_view_idx=4),13&lt;=act_horizon_n),CHOOSE(act_scn_idx,AQ185,BR185,CS185),"")</f>
        <v>0</v>
      </c>
      <c r="P52" s="62">
        <f t="shared" ref="P52:P57" si="14">IF(AND(OR(act_view_idx=1,act_view_idx=4),14&lt;=act_horizon_n),CHOOSE(act_scn_idx,AR185,BS185,CT185),"")</f>
        <v>0</v>
      </c>
      <c r="Q52" s="62">
        <f t="shared" ref="Q52:Q57" si="15">IF(AND(OR(act_view_idx=1,act_view_idx=4),15&lt;=act_horizon_n),CHOOSE(act_scn_idx,AS185,BT185,CU185),"")</f>
        <v>0</v>
      </c>
      <c r="R52" s="62">
        <f t="shared" ref="R52:R57" si="16">IF(AND(OR(act_view_idx=1,act_view_idx=4),16&lt;=act_horizon_n),CHOOSE(act_scn_idx,AT185,BU185,CV185),"")</f>
        <v>0</v>
      </c>
      <c r="S52" s="62">
        <f t="shared" ref="S52:S57" si="17">IF(AND(OR(act_view_idx=1,act_view_idx=4),17&lt;=act_horizon_n),CHOOSE(act_scn_idx,AU185,BV185,CW185),"")</f>
        <v>0</v>
      </c>
      <c r="T52" s="62">
        <f t="shared" ref="T52:T57" si="18">IF(AND(OR(act_view_idx=1,act_view_idx=4),18&lt;=act_horizon_n),CHOOSE(act_scn_idx,AV185,BW185,CX185),"")</f>
        <v>0</v>
      </c>
      <c r="U52" s="62">
        <f t="shared" ref="U52:U57" si="19">IF(AND(OR(act_view_idx=1,act_view_idx=4),19&lt;=act_horizon_n),CHOOSE(act_scn_idx,AW185,BX185,CY185),"")</f>
        <v>0</v>
      </c>
      <c r="V52" s="62">
        <f t="shared" ref="V52:V57" si="20">IF(AND(OR(act_view_idx=1,act_view_idx=4),20&lt;=act_horizon_n),CHOOSE(act_scn_idx,AX185,BY185,CZ185),"")</f>
        <v>0</v>
      </c>
      <c r="W52" s="62">
        <f t="shared" ref="W52:W57" si="21">IF(AND(OR(act_view_idx=1,act_view_idx=4),21&lt;=act_horizon_n),CHOOSE(act_scn_idx,AY185,BZ185,DA185),"")</f>
        <v>0</v>
      </c>
      <c r="X52" s="62">
        <f t="shared" ref="X52:X57" si="22">IF(AND(OR(act_view_idx=1,act_view_idx=4),22&lt;=act_horizon_n),CHOOSE(act_scn_idx,AZ185,CA185,DB185),"")</f>
        <v>0</v>
      </c>
      <c r="Y52" s="62">
        <f t="shared" ref="Y52:Y57" si="23">IF(AND(OR(act_view_idx=1,act_view_idx=4),23&lt;=act_horizon_n),CHOOSE(act_scn_idx,BA185,CB185,DC185),"")</f>
        <v>0</v>
      </c>
      <c r="Z52" s="62">
        <f t="shared" ref="Z52:Z57" si="24">IF(AND(OR(act_view_idx=1,act_view_idx=4),24&lt;=act_horizon_n),CHOOSE(act_scn_idx,BB185,CC185,DD185),"")</f>
        <v>0</v>
      </c>
      <c r="AA52" s="1"/>
      <c r="AB52" s="63">
        <f t="shared" ref="AB52:AB57" si="25">IF(OR(act_view_idx=1,act_view_idx=4),CHOOSE(act_scn_idx,BC185,CD185,DE185),"")</f>
        <v>0</v>
      </c>
      <c r="AC52" s="63">
        <f t="shared" ref="AC52:AC57" si="26">IF(AND(OR(act_view_idx=1,act_view_idx=4),act_horizon_n&gt;=24),CHOOSE(act_scn_idx,BD185,CE185,DF185),"")</f>
        <v>0</v>
      </c>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c r="DH52"/>
    </row>
    <row r="53" spans="1:112" ht="20" customHeight="1" x14ac:dyDescent="0.2">
      <c r="A53" s="1"/>
      <c r="B53" s="22" t="str">
        <f>IF(OR(act_view_idx=1,act_view_idx=4),"   "&amp;inp_sl2_name,"")</f>
        <v xml:space="preserve">   Project delivery</v>
      </c>
      <c r="C53" s="62">
        <f t="shared" si="1"/>
        <v>0</v>
      </c>
      <c r="D53" s="62">
        <f t="shared" si="2"/>
        <v>0</v>
      </c>
      <c r="E53" s="62">
        <f t="shared" si="3"/>
        <v>0</v>
      </c>
      <c r="F53" s="62">
        <f t="shared" si="4"/>
        <v>0</v>
      </c>
      <c r="G53" s="62">
        <f t="shared" si="5"/>
        <v>0</v>
      </c>
      <c r="H53" s="62">
        <f t="shared" si="6"/>
        <v>0</v>
      </c>
      <c r="I53" s="62">
        <f t="shared" si="7"/>
        <v>0</v>
      </c>
      <c r="J53" s="62">
        <f t="shared" si="8"/>
        <v>0</v>
      </c>
      <c r="K53" s="62">
        <f t="shared" si="9"/>
        <v>0</v>
      </c>
      <c r="L53" s="62">
        <f t="shared" si="10"/>
        <v>0</v>
      </c>
      <c r="M53" s="62">
        <f t="shared" si="11"/>
        <v>0</v>
      </c>
      <c r="N53" s="62">
        <f t="shared" si="12"/>
        <v>0</v>
      </c>
      <c r="O53" s="62">
        <f t="shared" si="13"/>
        <v>0</v>
      </c>
      <c r="P53" s="62">
        <f t="shared" si="14"/>
        <v>0</v>
      </c>
      <c r="Q53" s="62">
        <f t="shared" si="15"/>
        <v>0</v>
      </c>
      <c r="R53" s="62">
        <f t="shared" si="16"/>
        <v>0</v>
      </c>
      <c r="S53" s="62">
        <f t="shared" si="17"/>
        <v>0</v>
      </c>
      <c r="T53" s="62">
        <f t="shared" si="18"/>
        <v>0</v>
      </c>
      <c r="U53" s="62">
        <f t="shared" si="19"/>
        <v>0</v>
      </c>
      <c r="V53" s="62">
        <f t="shared" si="20"/>
        <v>0</v>
      </c>
      <c r="W53" s="62">
        <f t="shared" si="21"/>
        <v>0</v>
      </c>
      <c r="X53" s="62">
        <f t="shared" si="22"/>
        <v>0</v>
      </c>
      <c r="Y53" s="62">
        <f t="shared" si="23"/>
        <v>0</v>
      </c>
      <c r="Z53" s="62">
        <f t="shared" si="24"/>
        <v>0</v>
      </c>
      <c r="AA53" s="1"/>
      <c r="AB53" s="63">
        <f t="shared" si="25"/>
        <v>0</v>
      </c>
      <c r="AC53" s="63">
        <f t="shared" si="26"/>
        <v>0</v>
      </c>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c r="DH53"/>
    </row>
    <row r="54" spans="1:112" ht="20" customHeight="1" x14ac:dyDescent="0.2">
      <c r="A54" s="1"/>
      <c r="B54" s="22" t="str">
        <f>IF(OR(act_view_idx=1,act_view_idx=4),"   "&amp;inp_sl3_name,"")</f>
        <v xml:space="preserve">   Productised offering</v>
      </c>
      <c r="C54" s="62">
        <f t="shared" si="1"/>
        <v>0</v>
      </c>
      <c r="D54" s="62">
        <f t="shared" si="2"/>
        <v>0</v>
      </c>
      <c r="E54" s="62">
        <f t="shared" si="3"/>
        <v>0</v>
      </c>
      <c r="F54" s="62">
        <f t="shared" si="4"/>
        <v>0</v>
      </c>
      <c r="G54" s="62">
        <f t="shared" si="5"/>
        <v>0</v>
      </c>
      <c r="H54" s="62">
        <f t="shared" si="6"/>
        <v>0</v>
      </c>
      <c r="I54" s="62">
        <f t="shared" si="7"/>
        <v>0</v>
      </c>
      <c r="J54" s="62">
        <f t="shared" si="8"/>
        <v>0</v>
      </c>
      <c r="K54" s="62">
        <f t="shared" si="9"/>
        <v>0</v>
      </c>
      <c r="L54" s="62">
        <f t="shared" si="10"/>
        <v>0</v>
      </c>
      <c r="M54" s="62">
        <f t="shared" si="11"/>
        <v>0</v>
      </c>
      <c r="N54" s="62">
        <f t="shared" si="12"/>
        <v>0</v>
      </c>
      <c r="O54" s="62">
        <f t="shared" si="13"/>
        <v>0</v>
      </c>
      <c r="P54" s="62">
        <f t="shared" si="14"/>
        <v>0</v>
      </c>
      <c r="Q54" s="62">
        <f t="shared" si="15"/>
        <v>0</v>
      </c>
      <c r="R54" s="62">
        <f t="shared" si="16"/>
        <v>0</v>
      </c>
      <c r="S54" s="62">
        <f t="shared" si="17"/>
        <v>0</v>
      </c>
      <c r="T54" s="62">
        <f t="shared" si="18"/>
        <v>0</v>
      </c>
      <c r="U54" s="62">
        <f t="shared" si="19"/>
        <v>0</v>
      </c>
      <c r="V54" s="62">
        <f t="shared" si="20"/>
        <v>0</v>
      </c>
      <c r="W54" s="62">
        <f t="shared" si="21"/>
        <v>0</v>
      </c>
      <c r="X54" s="62">
        <f t="shared" si="22"/>
        <v>0</v>
      </c>
      <c r="Y54" s="62">
        <f t="shared" si="23"/>
        <v>0</v>
      </c>
      <c r="Z54" s="62">
        <f t="shared" si="24"/>
        <v>0</v>
      </c>
      <c r="AA54" s="1"/>
      <c r="AB54" s="63">
        <f t="shared" si="25"/>
        <v>0</v>
      </c>
      <c r="AC54" s="63">
        <f t="shared" si="26"/>
        <v>0</v>
      </c>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c r="DH54"/>
    </row>
    <row r="55" spans="1:112" ht="20" customHeight="1" x14ac:dyDescent="0.2">
      <c r="A55" s="1"/>
      <c r="B55" s="22" t="str">
        <f>IF(OR(act_view_idx=1,act_view_idx=4),"   "&amp;inp_sl4_name,"")</f>
        <v xml:space="preserve">   Outsourced services</v>
      </c>
      <c r="C55" s="62">
        <f t="shared" si="1"/>
        <v>0</v>
      </c>
      <c r="D55" s="62">
        <f t="shared" si="2"/>
        <v>0</v>
      </c>
      <c r="E55" s="62">
        <f t="shared" si="3"/>
        <v>0</v>
      </c>
      <c r="F55" s="62">
        <f t="shared" si="4"/>
        <v>0</v>
      </c>
      <c r="G55" s="62">
        <f t="shared" si="5"/>
        <v>0</v>
      </c>
      <c r="H55" s="62">
        <f t="shared" si="6"/>
        <v>0</v>
      </c>
      <c r="I55" s="62">
        <f t="shared" si="7"/>
        <v>0</v>
      </c>
      <c r="J55" s="62">
        <f t="shared" si="8"/>
        <v>0</v>
      </c>
      <c r="K55" s="62">
        <f t="shared" si="9"/>
        <v>0</v>
      </c>
      <c r="L55" s="62">
        <f t="shared" si="10"/>
        <v>0</v>
      </c>
      <c r="M55" s="62">
        <f t="shared" si="11"/>
        <v>0</v>
      </c>
      <c r="N55" s="62">
        <f t="shared" si="12"/>
        <v>0</v>
      </c>
      <c r="O55" s="62">
        <f t="shared" si="13"/>
        <v>0</v>
      </c>
      <c r="P55" s="62">
        <f t="shared" si="14"/>
        <v>0</v>
      </c>
      <c r="Q55" s="62">
        <f t="shared" si="15"/>
        <v>0</v>
      </c>
      <c r="R55" s="62">
        <f t="shared" si="16"/>
        <v>0</v>
      </c>
      <c r="S55" s="62">
        <f t="shared" si="17"/>
        <v>0</v>
      </c>
      <c r="T55" s="62">
        <f t="shared" si="18"/>
        <v>0</v>
      </c>
      <c r="U55" s="62">
        <f t="shared" si="19"/>
        <v>0</v>
      </c>
      <c r="V55" s="62">
        <f t="shared" si="20"/>
        <v>0</v>
      </c>
      <c r="W55" s="62">
        <f t="shared" si="21"/>
        <v>0</v>
      </c>
      <c r="X55" s="62">
        <f t="shared" si="22"/>
        <v>0</v>
      </c>
      <c r="Y55" s="62">
        <f t="shared" si="23"/>
        <v>0</v>
      </c>
      <c r="Z55" s="62">
        <f t="shared" si="24"/>
        <v>0</v>
      </c>
      <c r="AA55" s="1"/>
      <c r="AB55" s="63">
        <f t="shared" si="25"/>
        <v>0</v>
      </c>
      <c r="AC55" s="63">
        <f t="shared" si="26"/>
        <v>0</v>
      </c>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c r="DH55"/>
    </row>
    <row r="56" spans="1:112" ht="20" customHeight="1" x14ac:dyDescent="0.2">
      <c r="A56" s="1"/>
      <c r="B56" s="22" t="str">
        <f>IF(OR(act_view_idx=1,act_view_idx=4),"   "&amp;inp_sl5_name,"")</f>
        <v xml:space="preserve">   Other</v>
      </c>
      <c r="C56" s="62">
        <f t="shared" si="1"/>
        <v>0</v>
      </c>
      <c r="D56" s="62">
        <f t="shared" si="2"/>
        <v>0</v>
      </c>
      <c r="E56" s="62">
        <f t="shared" si="3"/>
        <v>0</v>
      </c>
      <c r="F56" s="62">
        <f t="shared" si="4"/>
        <v>0</v>
      </c>
      <c r="G56" s="62">
        <f t="shared" si="5"/>
        <v>0</v>
      </c>
      <c r="H56" s="62">
        <f t="shared" si="6"/>
        <v>0</v>
      </c>
      <c r="I56" s="62">
        <f t="shared" si="7"/>
        <v>0</v>
      </c>
      <c r="J56" s="62">
        <f t="shared" si="8"/>
        <v>0</v>
      </c>
      <c r="K56" s="62">
        <f t="shared" si="9"/>
        <v>0</v>
      </c>
      <c r="L56" s="62">
        <f t="shared" si="10"/>
        <v>0</v>
      </c>
      <c r="M56" s="62">
        <f t="shared" si="11"/>
        <v>0</v>
      </c>
      <c r="N56" s="62">
        <f t="shared" si="12"/>
        <v>0</v>
      </c>
      <c r="O56" s="62">
        <f t="shared" si="13"/>
        <v>0</v>
      </c>
      <c r="P56" s="62">
        <f t="shared" si="14"/>
        <v>0</v>
      </c>
      <c r="Q56" s="62">
        <f t="shared" si="15"/>
        <v>0</v>
      </c>
      <c r="R56" s="62">
        <f t="shared" si="16"/>
        <v>0</v>
      </c>
      <c r="S56" s="62">
        <f t="shared" si="17"/>
        <v>0</v>
      </c>
      <c r="T56" s="62">
        <f t="shared" si="18"/>
        <v>0</v>
      </c>
      <c r="U56" s="62">
        <f t="shared" si="19"/>
        <v>0</v>
      </c>
      <c r="V56" s="62">
        <f t="shared" si="20"/>
        <v>0</v>
      </c>
      <c r="W56" s="62">
        <f t="shared" si="21"/>
        <v>0</v>
      </c>
      <c r="X56" s="62">
        <f t="shared" si="22"/>
        <v>0</v>
      </c>
      <c r="Y56" s="62">
        <f t="shared" si="23"/>
        <v>0</v>
      </c>
      <c r="Z56" s="62">
        <f t="shared" si="24"/>
        <v>0</v>
      </c>
      <c r="AA56" s="1"/>
      <c r="AB56" s="63">
        <f t="shared" si="25"/>
        <v>0</v>
      </c>
      <c r="AC56" s="63">
        <f t="shared" si="26"/>
        <v>0</v>
      </c>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c r="DH56"/>
    </row>
    <row r="57" spans="1:112" ht="20" customHeight="1" x14ac:dyDescent="0.2">
      <c r="A57" s="1"/>
      <c r="B57" s="64" t="str">
        <f>IF(OR(act_view_idx=1,act_view_idx=4),"Total revenue","")</f>
        <v>Total revenue</v>
      </c>
      <c r="C57" s="65">
        <f t="shared" si="1"/>
        <v>0</v>
      </c>
      <c r="D57" s="65">
        <f t="shared" si="2"/>
        <v>0</v>
      </c>
      <c r="E57" s="65">
        <f t="shared" si="3"/>
        <v>0</v>
      </c>
      <c r="F57" s="65">
        <f t="shared" si="4"/>
        <v>0</v>
      </c>
      <c r="G57" s="65">
        <f t="shared" si="5"/>
        <v>0</v>
      </c>
      <c r="H57" s="65">
        <f t="shared" si="6"/>
        <v>0</v>
      </c>
      <c r="I57" s="65">
        <f t="shared" si="7"/>
        <v>0</v>
      </c>
      <c r="J57" s="65">
        <f t="shared" si="8"/>
        <v>0</v>
      </c>
      <c r="K57" s="65">
        <f t="shared" si="9"/>
        <v>0</v>
      </c>
      <c r="L57" s="65">
        <f t="shared" si="10"/>
        <v>0</v>
      </c>
      <c r="M57" s="65">
        <f t="shared" si="11"/>
        <v>0</v>
      </c>
      <c r="N57" s="65">
        <f t="shared" si="12"/>
        <v>0</v>
      </c>
      <c r="O57" s="65">
        <f t="shared" si="13"/>
        <v>0</v>
      </c>
      <c r="P57" s="65">
        <f t="shared" si="14"/>
        <v>0</v>
      </c>
      <c r="Q57" s="65">
        <f t="shared" si="15"/>
        <v>0</v>
      </c>
      <c r="R57" s="65">
        <f t="shared" si="16"/>
        <v>0</v>
      </c>
      <c r="S57" s="65">
        <f t="shared" si="17"/>
        <v>0</v>
      </c>
      <c r="T57" s="65">
        <f t="shared" si="18"/>
        <v>0</v>
      </c>
      <c r="U57" s="65">
        <f t="shared" si="19"/>
        <v>0</v>
      </c>
      <c r="V57" s="65">
        <f t="shared" si="20"/>
        <v>0</v>
      </c>
      <c r="W57" s="65">
        <f t="shared" si="21"/>
        <v>0</v>
      </c>
      <c r="X57" s="65">
        <f t="shared" si="22"/>
        <v>0</v>
      </c>
      <c r="Y57" s="65">
        <f t="shared" si="23"/>
        <v>0</v>
      </c>
      <c r="Z57" s="65">
        <f t="shared" si="24"/>
        <v>0</v>
      </c>
      <c r="AA57" s="1"/>
      <c r="AB57" s="65">
        <f t="shared" si="25"/>
        <v>0</v>
      </c>
      <c r="AC57" s="65">
        <f t="shared" si="26"/>
        <v>0</v>
      </c>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c r="DH57"/>
    </row>
    <row r="58" spans="1:112" ht="20" customHeight="1" x14ac:dyDescent="0.2">
      <c r="A58" s="1"/>
      <c r="B58" s="61" t="str">
        <f>IF(OR(act_view_idx=1,act_view_idx=4),"DIRECT COST","")</f>
        <v>DIRECT COST</v>
      </c>
      <c r="C58" s="2"/>
      <c r="D58" s="2"/>
      <c r="E58" s="2"/>
      <c r="F58" s="2"/>
      <c r="G58" s="2"/>
      <c r="H58" s="2"/>
      <c r="I58" s="2"/>
      <c r="J58" s="2"/>
      <c r="K58" s="2"/>
      <c r="L58" s="2"/>
      <c r="M58" s="2"/>
      <c r="N58" s="2"/>
      <c r="O58" s="2"/>
      <c r="P58" s="2"/>
      <c r="Q58" s="2"/>
      <c r="R58" s="2"/>
      <c r="S58" s="2"/>
      <c r="T58" s="2"/>
      <c r="U58" s="2"/>
      <c r="V58" s="2"/>
      <c r="W58" s="2"/>
      <c r="X58" s="2"/>
      <c r="Y58" s="2"/>
      <c r="Z58" s="2"/>
      <c r="AA58" s="1"/>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c r="DH58"/>
    </row>
    <row r="59" spans="1:112" ht="20" customHeight="1" x14ac:dyDescent="0.2">
      <c r="A59" s="1"/>
      <c r="B59" s="22" t="str">
        <f>IF(OR(act_view_idx=1,act_view_idx=4),"   Direct cost (variable, by line)","")</f>
        <v xml:space="preserve">   Direct cost (variable, by line)</v>
      </c>
      <c r="C59" s="62">
        <f>IF(AND(OR(act_view_idx=1,act_view_idx=4),1&lt;=act_horizon_n),CHOOSE(act_scn_idx,(AE191+AE192+AE193+AE194+AE195),(BF191+BF192+BF193+BF194+BF195),(CG191+CG192+CG193+CG194+CG195)),"")</f>
        <v>0</v>
      </c>
      <c r="D59" s="62">
        <f>IF(AND(OR(act_view_idx=1,act_view_idx=4),2&lt;=act_horizon_n),CHOOSE(act_scn_idx,(AF191+AF192+AF193+AF194+AF195),(BG191+BG192+BG193+BG194+BG195),(CH191+CH192+CH193+CH194+CH195)),"")</f>
        <v>0</v>
      </c>
      <c r="E59" s="62">
        <f>IF(AND(OR(act_view_idx=1,act_view_idx=4),3&lt;=act_horizon_n),CHOOSE(act_scn_idx,(AG191+AG192+AG193+AG194+AG195),(BH191+BH192+BH193+BH194+BH195),(CI191+CI192+CI193+CI194+CI195)),"")</f>
        <v>0</v>
      </c>
      <c r="F59" s="62">
        <f>IF(AND(OR(act_view_idx=1,act_view_idx=4),4&lt;=act_horizon_n),CHOOSE(act_scn_idx,(AH191+AH192+AH193+AH194+AH195),(BI191+BI192+BI193+BI194+BI195),(CJ191+CJ192+CJ193+CJ194+CJ195)),"")</f>
        <v>0</v>
      </c>
      <c r="G59" s="62">
        <f>IF(AND(OR(act_view_idx=1,act_view_idx=4),5&lt;=act_horizon_n),CHOOSE(act_scn_idx,(AI191+AI192+AI193+AI194+AI195),(BJ191+BJ192+BJ193+BJ194+BJ195),(CK191+CK192+CK193+CK194+CK195)),"")</f>
        <v>0</v>
      </c>
      <c r="H59" s="62">
        <f>IF(AND(OR(act_view_idx=1,act_view_idx=4),6&lt;=act_horizon_n),CHOOSE(act_scn_idx,(AJ191+AJ192+AJ193+AJ194+AJ195),(BK191+BK192+BK193+BK194+BK195),(CL191+CL192+CL193+CL194+CL195)),"")</f>
        <v>0</v>
      </c>
      <c r="I59" s="62">
        <f>IF(AND(OR(act_view_idx=1,act_view_idx=4),7&lt;=act_horizon_n),CHOOSE(act_scn_idx,(AK191+AK192+AK193+AK194+AK195),(BL191+BL192+BL193+BL194+BL195),(CM191+CM192+CM193+CM194+CM195)),"")</f>
        <v>0</v>
      </c>
      <c r="J59" s="62">
        <f>IF(AND(OR(act_view_idx=1,act_view_idx=4),8&lt;=act_horizon_n),CHOOSE(act_scn_idx,(AL191+AL192+AL193+AL194+AL195),(BM191+BM192+BM193+BM194+BM195),(CN191+CN192+CN193+CN194+CN195)),"")</f>
        <v>0</v>
      </c>
      <c r="K59" s="62">
        <f>IF(AND(OR(act_view_idx=1,act_view_idx=4),9&lt;=act_horizon_n),CHOOSE(act_scn_idx,(AM191+AM192+AM193+AM194+AM195),(BN191+BN192+BN193+BN194+BN195),(CO191+CO192+CO193+CO194+CO195)),"")</f>
        <v>0</v>
      </c>
      <c r="L59" s="62">
        <f>IF(AND(OR(act_view_idx=1,act_view_idx=4),10&lt;=act_horizon_n),CHOOSE(act_scn_idx,(AN191+AN192+AN193+AN194+AN195),(BO191+BO192+BO193+BO194+BO195),(CP191+CP192+CP193+CP194+CP195)),"")</f>
        <v>0</v>
      </c>
      <c r="M59" s="62">
        <f>IF(AND(OR(act_view_idx=1,act_view_idx=4),11&lt;=act_horizon_n),CHOOSE(act_scn_idx,(AO191+AO192+AO193+AO194+AO195),(BP191+BP192+BP193+BP194+BP195),(CQ191+CQ192+CQ193+CQ194+CQ195)),"")</f>
        <v>0</v>
      </c>
      <c r="N59" s="62">
        <f>IF(AND(OR(act_view_idx=1,act_view_idx=4),12&lt;=act_horizon_n),CHOOSE(act_scn_idx,(AP191+AP192+AP193+AP194+AP195),(BQ191+BQ192+BQ193+BQ194+BQ195),(CR191+CR192+CR193+CR194+CR195)),"")</f>
        <v>0</v>
      </c>
      <c r="O59" s="62">
        <f>IF(AND(OR(act_view_idx=1,act_view_idx=4),13&lt;=act_horizon_n),CHOOSE(act_scn_idx,(AQ191+AQ192+AQ193+AQ194+AQ195),(BR191+BR192+BR193+BR194+BR195),(CS191+CS192+CS193+CS194+CS195)),"")</f>
        <v>0</v>
      </c>
      <c r="P59" s="62">
        <f>IF(AND(OR(act_view_idx=1,act_view_idx=4),14&lt;=act_horizon_n),CHOOSE(act_scn_idx,(AR191+AR192+AR193+AR194+AR195),(BS191+BS192+BS193+BS194+BS195),(CT191+CT192+CT193+CT194+CT195)),"")</f>
        <v>0</v>
      </c>
      <c r="Q59" s="62">
        <f>IF(AND(OR(act_view_idx=1,act_view_idx=4),15&lt;=act_horizon_n),CHOOSE(act_scn_idx,(AS191+AS192+AS193+AS194+AS195),(BT191+BT192+BT193+BT194+BT195),(CU191+CU192+CU193+CU194+CU195)),"")</f>
        <v>0</v>
      </c>
      <c r="R59" s="62">
        <f>IF(AND(OR(act_view_idx=1,act_view_idx=4),16&lt;=act_horizon_n),CHOOSE(act_scn_idx,(AT191+AT192+AT193+AT194+AT195),(BU191+BU192+BU193+BU194+BU195),(CV191+CV192+CV193+CV194+CV195)),"")</f>
        <v>0</v>
      </c>
      <c r="S59" s="62">
        <f>IF(AND(OR(act_view_idx=1,act_view_idx=4),17&lt;=act_horizon_n),CHOOSE(act_scn_idx,(AU191+AU192+AU193+AU194+AU195),(BV191+BV192+BV193+BV194+BV195),(CW191+CW192+CW193+CW194+CW195)),"")</f>
        <v>0</v>
      </c>
      <c r="T59" s="62">
        <f>IF(AND(OR(act_view_idx=1,act_view_idx=4),18&lt;=act_horizon_n),CHOOSE(act_scn_idx,(AV191+AV192+AV193+AV194+AV195),(BW191+BW192+BW193+BW194+BW195),(CX191+CX192+CX193+CX194+CX195)),"")</f>
        <v>0</v>
      </c>
      <c r="U59" s="62">
        <f>IF(AND(OR(act_view_idx=1,act_view_idx=4),19&lt;=act_horizon_n),CHOOSE(act_scn_idx,(AW191+AW192+AW193+AW194+AW195),(BX191+BX192+BX193+BX194+BX195),(CY191+CY192+CY193+CY194+CY195)),"")</f>
        <v>0</v>
      </c>
      <c r="V59" s="62">
        <f>IF(AND(OR(act_view_idx=1,act_view_idx=4),20&lt;=act_horizon_n),CHOOSE(act_scn_idx,(AX191+AX192+AX193+AX194+AX195),(BY191+BY192+BY193+BY194+BY195),(CZ191+CZ192+CZ193+CZ194+CZ195)),"")</f>
        <v>0</v>
      </c>
      <c r="W59" s="62">
        <f>IF(AND(OR(act_view_idx=1,act_view_idx=4),21&lt;=act_horizon_n),CHOOSE(act_scn_idx,(AY191+AY192+AY193+AY194+AY195),(BZ191+BZ192+BZ193+BZ194+BZ195),(DA191+DA192+DA193+DA194+DA195)),"")</f>
        <v>0</v>
      </c>
      <c r="X59" s="62">
        <f>IF(AND(OR(act_view_idx=1,act_view_idx=4),22&lt;=act_horizon_n),CHOOSE(act_scn_idx,(AZ191+AZ192+AZ193+AZ194+AZ195),(CA191+CA192+CA193+CA194+CA195),(DB191+DB192+DB193+DB194+DB195)),"")</f>
        <v>0</v>
      </c>
      <c r="Y59" s="62">
        <f>IF(AND(OR(act_view_idx=1,act_view_idx=4),23&lt;=act_horizon_n),CHOOSE(act_scn_idx,(BA191+BA192+BA193+BA194+BA195),(CB191+CB192+CB193+CB194+CB195),(DC191+DC192+DC193+DC194+DC195)),"")</f>
        <v>0</v>
      </c>
      <c r="Z59" s="62">
        <f>IF(AND(OR(act_view_idx=1,act_view_idx=4),24&lt;=act_horizon_n),CHOOSE(act_scn_idx,(BB191+BB192+BB193+BB194+BB195),(CC191+CC192+CC193+CC194+CC195),(DD191+DD192+DD193+DD194+DD195)),"")</f>
        <v>0</v>
      </c>
      <c r="AA59" s="1"/>
      <c r="AB59" s="63">
        <f>IF(OR(act_view_idx=1,act_view_idx=4),CHOOSE(act_scn_idx,(BC191+BC192+BC193+BC194+BC195),(CD191+CD192+CD193+CD194+CD195),(DE191+DE192+DE193+DE194+DE195)),"")</f>
        <v>0</v>
      </c>
      <c r="AC59" s="63">
        <f>IF(AND(OR(act_view_idx=1,act_view_idx=4),act_horizon_n&gt;=24),CHOOSE(act_scn_idx,(BD191+BD192+BD193+BD194+BD195),(CE191+CE192+CE193+CE194+CE195),(DF191+DF192+DF193+DF194+DF195)),"")</f>
        <v>0</v>
      </c>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c r="DH59"/>
    </row>
    <row r="60" spans="1:112" ht="20" customHeight="1" x14ac:dyDescent="0.2">
      <c r="A60" s="1"/>
      <c r="B60" s="22" t="str">
        <f>IF(OR(act_view_idx=1,act_view_idx=4),"   Contractors / freelance","")</f>
        <v xml:space="preserve">   Contractors / freelance</v>
      </c>
      <c r="C60" s="62">
        <f t="shared" ref="C60:C66" si="27">IF(AND(OR(act_view_idx=1,act_view_idx=4),1&lt;=act_horizon_n),CHOOSE(act_scn_idx,AE196,BF196,CG196),"")</f>
        <v>0</v>
      </c>
      <c r="D60" s="62">
        <f t="shared" ref="D60:D66" si="28">IF(AND(OR(act_view_idx=1,act_view_idx=4),2&lt;=act_horizon_n),CHOOSE(act_scn_idx,AF196,BG196,CH196),"")</f>
        <v>0</v>
      </c>
      <c r="E60" s="62">
        <f t="shared" ref="E60:E66" si="29">IF(AND(OR(act_view_idx=1,act_view_idx=4),3&lt;=act_horizon_n),CHOOSE(act_scn_idx,AG196,BH196,CI196),"")</f>
        <v>0</v>
      </c>
      <c r="F60" s="62">
        <f t="shared" ref="F60:F66" si="30">IF(AND(OR(act_view_idx=1,act_view_idx=4),4&lt;=act_horizon_n),CHOOSE(act_scn_idx,AH196,BI196,CJ196),"")</f>
        <v>0</v>
      </c>
      <c r="G60" s="62">
        <f t="shared" ref="G60:G66" si="31">IF(AND(OR(act_view_idx=1,act_view_idx=4),5&lt;=act_horizon_n),CHOOSE(act_scn_idx,AI196,BJ196,CK196),"")</f>
        <v>0</v>
      </c>
      <c r="H60" s="62">
        <f t="shared" ref="H60:H66" si="32">IF(AND(OR(act_view_idx=1,act_view_idx=4),6&lt;=act_horizon_n),CHOOSE(act_scn_idx,AJ196,BK196,CL196),"")</f>
        <v>0</v>
      </c>
      <c r="I60" s="62">
        <f t="shared" ref="I60:I66" si="33">IF(AND(OR(act_view_idx=1,act_view_idx=4),7&lt;=act_horizon_n),CHOOSE(act_scn_idx,AK196,BL196,CM196),"")</f>
        <v>0</v>
      </c>
      <c r="J60" s="62">
        <f t="shared" ref="J60:J66" si="34">IF(AND(OR(act_view_idx=1,act_view_idx=4),8&lt;=act_horizon_n),CHOOSE(act_scn_idx,AL196,BM196,CN196),"")</f>
        <v>0</v>
      </c>
      <c r="K60" s="62">
        <f t="shared" ref="K60:K66" si="35">IF(AND(OR(act_view_idx=1,act_view_idx=4),9&lt;=act_horizon_n),CHOOSE(act_scn_idx,AM196,BN196,CO196),"")</f>
        <v>0</v>
      </c>
      <c r="L60" s="62">
        <f t="shared" ref="L60:L66" si="36">IF(AND(OR(act_view_idx=1,act_view_idx=4),10&lt;=act_horizon_n),CHOOSE(act_scn_idx,AN196,BO196,CP196),"")</f>
        <v>0</v>
      </c>
      <c r="M60" s="62">
        <f t="shared" ref="M60:M66" si="37">IF(AND(OR(act_view_idx=1,act_view_idx=4),11&lt;=act_horizon_n),CHOOSE(act_scn_idx,AO196,BP196,CQ196),"")</f>
        <v>0</v>
      </c>
      <c r="N60" s="62">
        <f t="shared" ref="N60:N66" si="38">IF(AND(OR(act_view_idx=1,act_view_idx=4),12&lt;=act_horizon_n),CHOOSE(act_scn_idx,AP196,BQ196,CR196),"")</f>
        <v>0</v>
      </c>
      <c r="O60" s="62">
        <f t="shared" ref="O60:O66" si="39">IF(AND(OR(act_view_idx=1,act_view_idx=4),13&lt;=act_horizon_n),CHOOSE(act_scn_idx,AQ196,BR196,CS196),"")</f>
        <v>0</v>
      </c>
      <c r="P60" s="62">
        <f t="shared" ref="P60:P66" si="40">IF(AND(OR(act_view_idx=1,act_view_idx=4),14&lt;=act_horizon_n),CHOOSE(act_scn_idx,AR196,BS196,CT196),"")</f>
        <v>0</v>
      </c>
      <c r="Q60" s="62">
        <f t="shared" ref="Q60:Q66" si="41">IF(AND(OR(act_view_idx=1,act_view_idx=4),15&lt;=act_horizon_n),CHOOSE(act_scn_idx,AS196,BT196,CU196),"")</f>
        <v>0</v>
      </c>
      <c r="R60" s="62">
        <f t="shared" ref="R60:R66" si="42">IF(AND(OR(act_view_idx=1,act_view_idx=4),16&lt;=act_horizon_n),CHOOSE(act_scn_idx,AT196,BU196,CV196),"")</f>
        <v>0</v>
      </c>
      <c r="S60" s="62">
        <f t="shared" ref="S60:S66" si="43">IF(AND(OR(act_view_idx=1,act_view_idx=4),17&lt;=act_horizon_n),CHOOSE(act_scn_idx,AU196,BV196,CW196),"")</f>
        <v>0</v>
      </c>
      <c r="T60" s="62">
        <f t="shared" ref="T60:T66" si="44">IF(AND(OR(act_view_idx=1,act_view_idx=4),18&lt;=act_horizon_n),CHOOSE(act_scn_idx,AV196,BW196,CX196),"")</f>
        <v>0</v>
      </c>
      <c r="U60" s="62">
        <f t="shared" ref="U60:U66" si="45">IF(AND(OR(act_view_idx=1,act_view_idx=4),19&lt;=act_horizon_n),CHOOSE(act_scn_idx,AW196,BX196,CY196),"")</f>
        <v>0</v>
      </c>
      <c r="V60" s="62">
        <f t="shared" ref="V60:V66" si="46">IF(AND(OR(act_view_idx=1,act_view_idx=4),20&lt;=act_horizon_n),CHOOSE(act_scn_idx,AX196,BY196,CZ196),"")</f>
        <v>0</v>
      </c>
      <c r="W60" s="62">
        <f t="shared" ref="W60:W66" si="47">IF(AND(OR(act_view_idx=1,act_view_idx=4),21&lt;=act_horizon_n),CHOOSE(act_scn_idx,AY196,BZ196,DA196),"")</f>
        <v>0</v>
      </c>
      <c r="X60" s="62">
        <f t="shared" ref="X60:X66" si="48">IF(AND(OR(act_view_idx=1,act_view_idx=4),22&lt;=act_horizon_n),CHOOSE(act_scn_idx,AZ196,CA196,DB196),"")</f>
        <v>0</v>
      </c>
      <c r="Y60" s="62">
        <f t="shared" ref="Y60:Y66" si="49">IF(AND(OR(act_view_idx=1,act_view_idx=4),23&lt;=act_horizon_n),CHOOSE(act_scn_idx,BA196,CB196,DC196),"")</f>
        <v>0</v>
      </c>
      <c r="Z60" s="62">
        <f t="shared" ref="Z60:Z66" si="50">IF(AND(OR(act_view_idx=1,act_view_idx=4),24&lt;=act_horizon_n),CHOOSE(act_scn_idx,BB196,CC196,DD196),"")</f>
        <v>0</v>
      </c>
      <c r="AA60" s="1"/>
      <c r="AB60" s="63">
        <f t="shared" ref="AB60:AB66" si="51">IF(OR(act_view_idx=1,act_view_idx=4),CHOOSE(act_scn_idx,BC196,CD196,DE196),"")</f>
        <v>0</v>
      </c>
      <c r="AC60" s="63">
        <f t="shared" ref="AC60:AC66" si="52">IF(AND(OR(act_view_idx=1,act_view_idx=4),act_horizon_n&gt;=24),CHOOSE(act_scn_idx,BD196,CE196,DF196),"")</f>
        <v>0</v>
      </c>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c r="DH60"/>
    </row>
    <row r="61" spans="1:112" ht="20" customHeight="1" x14ac:dyDescent="0.2">
      <c r="A61" s="1"/>
      <c r="B61" s="22" t="str">
        <f>IF(OR(act_view_idx=1,act_view_idx=4),"   Production tools / licenses","")</f>
        <v xml:space="preserve">   Production tools / licenses</v>
      </c>
      <c r="C61" s="62">
        <f t="shared" si="27"/>
        <v>0</v>
      </c>
      <c r="D61" s="62">
        <f t="shared" si="28"/>
        <v>0</v>
      </c>
      <c r="E61" s="62">
        <f t="shared" si="29"/>
        <v>0</v>
      </c>
      <c r="F61" s="62">
        <f t="shared" si="30"/>
        <v>0</v>
      </c>
      <c r="G61" s="62">
        <f t="shared" si="31"/>
        <v>0</v>
      </c>
      <c r="H61" s="62">
        <f t="shared" si="32"/>
        <v>0</v>
      </c>
      <c r="I61" s="62">
        <f t="shared" si="33"/>
        <v>0</v>
      </c>
      <c r="J61" s="62">
        <f t="shared" si="34"/>
        <v>0</v>
      </c>
      <c r="K61" s="62">
        <f t="shared" si="35"/>
        <v>0</v>
      </c>
      <c r="L61" s="62">
        <f t="shared" si="36"/>
        <v>0</v>
      </c>
      <c r="M61" s="62">
        <f t="shared" si="37"/>
        <v>0</v>
      </c>
      <c r="N61" s="62">
        <f t="shared" si="38"/>
        <v>0</v>
      </c>
      <c r="O61" s="62">
        <f t="shared" si="39"/>
        <v>0</v>
      </c>
      <c r="P61" s="62">
        <f t="shared" si="40"/>
        <v>0</v>
      </c>
      <c r="Q61" s="62">
        <f t="shared" si="41"/>
        <v>0</v>
      </c>
      <c r="R61" s="62">
        <f t="shared" si="42"/>
        <v>0</v>
      </c>
      <c r="S61" s="62">
        <f t="shared" si="43"/>
        <v>0</v>
      </c>
      <c r="T61" s="62">
        <f t="shared" si="44"/>
        <v>0</v>
      </c>
      <c r="U61" s="62">
        <f t="shared" si="45"/>
        <v>0</v>
      </c>
      <c r="V61" s="62">
        <f t="shared" si="46"/>
        <v>0</v>
      </c>
      <c r="W61" s="62">
        <f t="shared" si="47"/>
        <v>0</v>
      </c>
      <c r="X61" s="62">
        <f t="shared" si="48"/>
        <v>0</v>
      </c>
      <c r="Y61" s="62">
        <f t="shared" si="49"/>
        <v>0</v>
      </c>
      <c r="Z61" s="62">
        <f t="shared" si="50"/>
        <v>0</v>
      </c>
      <c r="AA61" s="1"/>
      <c r="AB61" s="63">
        <f t="shared" si="51"/>
        <v>0</v>
      </c>
      <c r="AC61" s="63">
        <f t="shared" si="52"/>
        <v>0</v>
      </c>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c r="DH61"/>
    </row>
    <row r="62" spans="1:112" ht="20" customHeight="1" x14ac:dyDescent="0.2">
      <c r="A62" s="1"/>
      <c r="B62" s="22" t="str">
        <f>IF(OR(act_view_idx=1,act_view_idx=4),"   Pass-through media","")</f>
        <v xml:space="preserve">   Pass-through media</v>
      </c>
      <c r="C62" s="62">
        <f t="shared" si="27"/>
        <v>0</v>
      </c>
      <c r="D62" s="62">
        <f t="shared" si="28"/>
        <v>0</v>
      </c>
      <c r="E62" s="62">
        <f t="shared" si="29"/>
        <v>0</v>
      </c>
      <c r="F62" s="62">
        <f t="shared" si="30"/>
        <v>0</v>
      </c>
      <c r="G62" s="62">
        <f t="shared" si="31"/>
        <v>0</v>
      </c>
      <c r="H62" s="62">
        <f t="shared" si="32"/>
        <v>0</v>
      </c>
      <c r="I62" s="62">
        <f t="shared" si="33"/>
        <v>0</v>
      </c>
      <c r="J62" s="62">
        <f t="shared" si="34"/>
        <v>0</v>
      </c>
      <c r="K62" s="62">
        <f t="shared" si="35"/>
        <v>0</v>
      </c>
      <c r="L62" s="62">
        <f t="shared" si="36"/>
        <v>0</v>
      </c>
      <c r="M62" s="62">
        <f t="shared" si="37"/>
        <v>0</v>
      </c>
      <c r="N62" s="62">
        <f t="shared" si="38"/>
        <v>0</v>
      </c>
      <c r="O62" s="62">
        <f t="shared" si="39"/>
        <v>0</v>
      </c>
      <c r="P62" s="62">
        <f t="shared" si="40"/>
        <v>0</v>
      </c>
      <c r="Q62" s="62">
        <f t="shared" si="41"/>
        <v>0</v>
      </c>
      <c r="R62" s="62">
        <f t="shared" si="42"/>
        <v>0</v>
      </c>
      <c r="S62" s="62">
        <f t="shared" si="43"/>
        <v>0</v>
      </c>
      <c r="T62" s="62">
        <f t="shared" si="44"/>
        <v>0</v>
      </c>
      <c r="U62" s="62">
        <f t="shared" si="45"/>
        <v>0</v>
      </c>
      <c r="V62" s="62">
        <f t="shared" si="46"/>
        <v>0</v>
      </c>
      <c r="W62" s="62">
        <f t="shared" si="47"/>
        <v>0</v>
      </c>
      <c r="X62" s="62">
        <f t="shared" si="48"/>
        <v>0</v>
      </c>
      <c r="Y62" s="62">
        <f t="shared" si="49"/>
        <v>0</v>
      </c>
      <c r="Z62" s="62">
        <f t="shared" si="50"/>
        <v>0</v>
      </c>
      <c r="AA62" s="1"/>
      <c r="AB62" s="63">
        <f t="shared" si="51"/>
        <v>0</v>
      </c>
      <c r="AC62" s="63">
        <f t="shared" si="52"/>
        <v>0</v>
      </c>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c r="DH62"/>
    </row>
    <row r="63" spans="1:112" ht="20" customHeight="1" x14ac:dyDescent="0.2">
      <c r="A63" s="1"/>
      <c r="B63" s="22" t="str">
        <f>IF(OR(act_view_idx=1,act_view_idx=4),"   Other direct cost","")</f>
        <v xml:space="preserve">   Other direct cost</v>
      </c>
      <c r="C63" s="62">
        <f t="shared" si="27"/>
        <v>0</v>
      </c>
      <c r="D63" s="62">
        <f t="shared" si="28"/>
        <v>0</v>
      </c>
      <c r="E63" s="62">
        <f t="shared" si="29"/>
        <v>0</v>
      </c>
      <c r="F63" s="62">
        <f t="shared" si="30"/>
        <v>0</v>
      </c>
      <c r="G63" s="62">
        <f t="shared" si="31"/>
        <v>0</v>
      </c>
      <c r="H63" s="62">
        <f t="shared" si="32"/>
        <v>0</v>
      </c>
      <c r="I63" s="62">
        <f t="shared" si="33"/>
        <v>0</v>
      </c>
      <c r="J63" s="62">
        <f t="shared" si="34"/>
        <v>0</v>
      </c>
      <c r="K63" s="62">
        <f t="shared" si="35"/>
        <v>0</v>
      </c>
      <c r="L63" s="62">
        <f t="shared" si="36"/>
        <v>0</v>
      </c>
      <c r="M63" s="62">
        <f t="shared" si="37"/>
        <v>0</v>
      </c>
      <c r="N63" s="62">
        <f t="shared" si="38"/>
        <v>0</v>
      </c>
      <c r="O63" s="62">
        <f t="shared" si="39"/>
        <v>0</v>
      </c>
      <c r="P63" s="62">
        <f t="shared" si="40"/>
        <v>0</v>
      </c>
      <c r="Q63" s="62">
        <f t="shared" si="41"/>
        <v>0</v>
      </c>
      <c r="R63" s="62">
        <f t="shared" si="42"/>
        <v>0</v>
      </c>
      <c r="S63" s="62">
        <f t="shared" si="43"/>
        <v>0</v>
      </c>
      <c r="T63" s="62">
        <f t="shared" si="44"/>
        <v>0</v>
      </c>
      <c r="U63" s="62">
        <f t="shared" si="45"/>
        <v>0</v>
      </c>
      <c r="V63" s="62">
        <f t="shared" si="46"/>
        <v>0</v>
      </c>
      <c r="W63" s="62">
        <f t="shared" si="47"/>
        <v>0</v>
      </c>
      <c r="X63" s="62">
        <f t="shared" si="48"/>
        <v>0</v>
      </c>
      <c r="Y63" s="62">
        <f t="shared" si="49"/>
        <v>0</v>
      </c>
      <c r="Z63" s="62">
        <f t="shared" si="50"/>
        <v>0</v>
      </c>
      <c r="AA63" s="1"/>
      <c r="AB63" s="63">
        <f t="shared" si="51"/>
        <v>0</v>
      </c>
      <c r="AC63" s="63">
        <f t="shared" si="52"/>
        <v>0</v>
      </c>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c r="DH63"/>
    </row>
    <row r="64" spans="1:112" ht="20" customHeight="1" x14ac:dyDescent="0.2">
      <c r="A64" s="1"/>
      <c r="B64" s="64" t="str">
        <f>IF(OR(act_view_idx=1,act_view_idx=4),"Total direct cost","")</f>
        <v>Total direct cost</v>
      </c>
      <c r="C64" s="65">
        <f t="shared" si="27"/>
        <v>0</v>
      </c>
      <c r="D64" s="65">
        <f t="shared" si="28"/>
        <v>0</v>
      </c>
      <c r="E64" s="65">
        <f t="shared" si="29"/>
        <v>0</v>
      </c>
      <c r="F64" s="65">
        <f t="shared" si="30"/>
        <v>0</v>
      </c>
      <c r="G64" s="65">
        <f t="shared" si="31"/>
        <v>0</v>
      </c>
      <c r="H64" s="65">
        <f t="shared" si="32"/>
        <v>0</v>
      </c>
      <c r="I64" s="65">
        <f t="shared" si="33"/>
        <v>0</v>
      </c>
      <c r="J64" s="65">
        <f t="shared" si="34"/>
        <v>0</v>
      </c>
      <c r="K64" s="65">
        <f t="shared" si="35"/>
        <v>0</v>
      </c>
      <c r="L64" s="65">
        <f t="shared" si="36"/>
        <v>0</v>
      </c>
      <c r="M64" s="65">
        <f t="shared" si="37"/>
        <v>0</v>
      </c>
      <c r="N64" s="65">
        <f t="shared" si="38"/>
        <v>0</v>
      </c>
      <c r="O64" s="65">
        <f t="shared" si="39"/>
        <v>0</v>
      </c>
      <c r="P64" s="65">
        <f t="shared" si="40"/>
        <v>0</v>
      </c>
      <c r="Q64" s="65">
        <f t="shared" si="41"/>
        <v>0</v>
      </c>
      <c r="R64" s="65">
        <f t="shared" si="42"/>
        <v>0</v>
      </c>
      <c r="S64" s="65">
        <f t="shared" si="43"/>
        <v>0</v>
      </c>
      <c r="T64" s="65">
        <f t="shared" si="44"/>
        <v>0</v>
      </c>
      <c r="U64" s="65">
        <f t="shared" si="45"/>
        <v>0</v>
      </c>
      <c r="V64" s="65">
        <f t="shared" si="46"/>
        <v>0</v>
      </c>
      <c r="W64" s="65">
        <f t="shared" si="47"/>
        <v>0</v>
      </c>
      <c r="X64" s="65">
        <f t="shared" si="48"/>
        <v>0</v>
      </c>
      <c r="Y64" s="65">
        <f t="shared" si="49"/>
        <v>0</v>
      </c>
      <c r="Z64" s="65">
        <f t="shared" si="50"/>
        <v>0</v>
      </c>
      <c r="AA64" s="1"/>
      <c r="AB64" s="65">
        <f t="shared" si="51"/>
        <v>0</v>
      </c>
      <c r="AC64" s="65">
        <f t="shared" si="52"/>
        <v>0</v>
      </c>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c r="DH64"/>
    </row>
    <row r="65" spans="1:112" ht="20" customHeight="1" x14ac:dyDescent="0.2">
      <c r="A65" s="1"/>
      <c r="B65" s="66" t="str">
        <f>IF(OR(act_view_idx=1,act_view_idx=4),"GROSS PROFIT","")</f>
        <v>GROSS PROFIT</v>
      </c>
      <c r="C65" s="67">
        <f t="shared" si="27"/>
        <v>0</v>
      </c>
      <c r="D65" s="67">
        <f t="shared" si="28"/>
        <v>0</v>
      </c>
      <c r="E65" s="67">
        <f t="shared" si="29"/>
        <v>0</v>
      </c>
      <c r="F65" s="67">
        <f t="shared" si="30"/>
        <v>0</v>
      </c>
      <c r="G65" s="67">
        <f t="shared" si="31"/>
        <v>0</v>
      </c>
      <c r="H65" s="67">
        <f t="shared" si="32"/>
        <v>0</v>
      </c>
      <c r="I65" s="67">
        <f t="shared" si="33"/>
        <v>0</v>
      </c>
      <c r="J65" s="67">
        <f t="shared" si="34"/>
        <v>0</v>
      </c>
      <c r="K65" s="67">
        <f t="shared" si="35"/>
        <v>0</v>
      </c>
      <c r="L65" s="67">
        <f t="shared" si="36"/>
        <v>0</v>
      </c>
      <c r="M65" s="67">
        <f t="shared" si="37"/>
        <v>0</v>
      </c>
      <c r="N65" s="67">
        <f t="shared" si="38"/>
        <v>0</v>
      </c>
      <c r="O65" s="67">
        <f t="shared" si="39"/>
        <v>0</v>
      </c>
      <c r="P65" s="67">
        <f t="shared" si="40"/>
        <v>0</v>
      </c>
      <c r="Q65" s="67">
        <f t="shared" si="41"/>
        <v>0</v>
      </c>
      <c r="R65" s="67">
        <f t="shared" si="42"/>
        <v>0</v>
      </c>
      <c r="S65" s="67">
        <f t="shared" si="43"/>
        <v>0</v>
      </c>
      <c r="T65" s="67">
        <f t="shared" si="44"/>
        <v>0</v>
      </c>
      <c r="U65" s="67">
        <f t="shared" si="45"/>
        <v>0</v>
      </c>
      <c r="V65" s="67">
        <f t="shared" si="46"/>
        <v>0</v>
      </c>
      <c r="W65" s="67">
        <f t="shared" si="47"/>
        <v>0</v>
      </c>
      <c r="X65" s="67">
        <f t="shared" si="48"/>
        <v>0</v>
      </c>
      <c r="Y65" s="67">
        <f t="shared" si="49"/>
        <v>0</v>
      </c>
      <c r="Z65" s="67">
        <f t="shared" si="50"/>
        <v>0</v>
      </c>
      <c r="AA65" s="1"/>
      <c r="AB65" s="67">
        <f t="shared" si="51"/>
        <v>0</v>
      </c>
      <c r="AC65" s="67">
        <f t="shared" si="52"/>
        <v>0</v>
      </c>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c r="DH65"/>
    </row>
    <row r="66" spans="1:112" ht="20" customHeight="1" x14ac:dyDescent="0.2">
      <c r="A66" s="1"/>
      <c r="B66" s="23" t="str">
        <f>IF(OR(act_view_idx=1,act_view_idx=4),"   Gross margin %","")</f>
        <v xml:space="preserve">   Gross margin %</v>
      </c>
      <c r="C66" s="68">
        <f t="shared" si="27"/>
        <v>0</v>
      </c>
      <c r="D66" s="68">
        <f t="shared" si="28"/>
        <v>0</v>
      </c>
      <c r="E66" s="68">
        <f t="shared" si="29"/>
        <v>0</v>
      </c>
      <c r="F66" s="68">
        <f t="shared" si="30"/>
        <v>0</v>
      </c>
      <c r="G66" s="68">
        <f t="shared" si="31"/>
        <v>0</v>
      </c>
      <c r="H66" s="68">
        <f t="shared" si="32"/>
        <v>0</v>
      </c>
      <c r="I66" s="68">
        <f t="shared" si="33"/>
        <v>0</v>
      </c>
      <c r="J66" s="68">
        <f t="shared" si="34"/>
        <v>0</v>
      </c>
      <c r="K66" s="68">
        <f t="shared" si="35"/>
        <v>0</v>
      </c>
      <c r="L66" s="68">
        <f t="shared" si="36"/>
        <v>0</v>
      </c>
      <c r="M66" s="68">
        <f t="shared" si="37"/>
        <v>0</v>
      </c>
      <c r="N66" s="68">
        <f t="shared" si="38"/>
        <v>0</v>
      </c>
      <c r="O66" s="68">
        <f t="shared" si="39"/>
        <v>0</v>
      </c>
      <c r="P66" s="68">
        <f t="shared" si="40"/>
        <v>0</v>
      </c>
      <c r="Q66" s="68">
        <f t="shared" si="41"/>
        <v>0</v>
      </c>
      <c r="R66" s="68">
        <f t="shared" si="42"/>
        <v>0</v>
      </c>
      <c r="S66" s="68">
        <f t="shared" si="43"/>
        <v>0</v>
      </c>
      <c r="T66" s="68">
        <f t="shared" si="44"/>
        <v>0</v>
      </c>
      <c r="U66" s="68">
        <f t="shared" si="45"/>
        <v>0</v>
      </c>
      <c r="V66" s="68">
        <f t="shared" si="46"/>
        <v>0</v>
      </c>
      <c r="W66" s="68">
        <f t="shared" si="47"/>
        <v>0</v>
      </c>
      <c r="X66" s="68">
        <f t="shared" si="48"/>
        <v>0</v>
      </c>
      <c r="Y66" s="68">
        <f t="shared" si="49"/>
        <v>0</v>
      </c>
      <c r="Z66" s="68">
        <f t="shared" si="50"/>
        <v>0</v>
      </c>
      <c r="AA66" s="1"/>
      <c r="AB66" s="68">
        <f t="shared" si="51"/>
        <v>0</v>
      </c>
      <c r="AC66" s="68">
        <f t="shared" si="52"/>
        <v>0</v>
      </c>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c r="DH66"/>
    </row>
    <row r="67" spans="1:112" ht="20" customHeight="1" x14ac:dyDescent="0.2">
      <c r="A67" s="1"/>
      <c r="B67" s="61" t="str">
        <f>IF(OR(act_view_idx=1,act_view_idx=4),"OPERATING EXPENSES","")</f>
        <v>OPERATING EXPENSES</v>
      </c>
      <c r="C67" s="2"/>
      <c r="D67" s="2"/>
      <c r="E67" s="2"/>
      <c r="F67" s="2"/>
      <c r="G67" s="2"/>
      <c r="H67" s="2"/>
      <c r="I67" s="2"/>
      <c r="J67" s="2"/>
      <c r="K67" s="2"/>
      <c r="L67" s="2"/>
      <c r="M67" s="2"/>
      <c r="N67" s="2"/>
      <c r="O67" s="2"/>
      <c r="P67" s="2"/>
      <c r="Q67" s="2"/>
      <c r="R67" s="2"/>
      <c r="S67" s="2"/>
      <c r="T67" s="2"/>
      <c r="U67" s="2"/>
      <c r="V67" s="2"/>
      <c r="W67" s="2"/>
      <c r="X67" s="2"/>
      <c r="Y67" s="2"/>
      <c r="Z67" s="2"/>
      <c r="AA67" s="1"/>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c r="DH67"/>
    </row>
    <row r="68" spans="1:112" ht="20" customHeight="1" x14ac:dyDescent="0.2">
      <c r="A68" s="1"/>
      <c r="B68" s="22" t="str">
        <f>IF(OR(act_view_idx=1,act_view_idx=4),"   Overhead payroll","")</f>
        <v xml:space="preserve">   Overhead payroll</v>
      </c>
      <c r="C68" s="62">
        <f>IF(AND(OR(act_view_idx=1,act_view_idx=4),1&lt;=act_horizon_n),CHOOSE(act_scn_idx,AE203,BF203,CG203),"")</f>
        <v>0</v>
      </c>
      <c r="D68" s="62">
        <f>IF(AND(OR(act_view_idx=1,act_view_idx=4),2&lt;=act_horizon_n),CHOOSE(act_scn_idx,AF203,BG203,CH203),"")</f>
        <v>0</v>
      </c>
      <c r="E68" s="62">
        <f>IF(AND(OR(act_view_idx=1,act_view_idx=4),3&lt;=act_horizon_n),CHOOSE(act_scn_idx,AG203,BH203,CI203),"")</f>
        <v>0</v>
      </c>
      <c r="F68" s="62">
        <f>IF(AND(OR(act_view_idx=1,act_view_idx=4),4&lt;=act_horizon_n),CHOOSE(act_scn_idx,AH203,BI203,CJ203),"")</f>
        <v>0</v>
      </c>
      <c r="G68" s="62">
        <f>IF(AND(OR(act_view_idx=1,act_view_idx=4),5&lt;=act_horizon_n),CHOOSE(act_scn_idx,AI203,BJ203,CK203),"")</f>
        <v>0</v>
      </c>
      <c r="H68" s="62">
        <f>IF(AND(OR(act_view_idx=1,act_view_idx=4),6&lt;=act_horizon_n),CHOOSE(act_scn_idx,AJ203,BK203,CL203),"")</f>
        <v>0</v>
      </c>
      <c r="I68" s="62">
        <f>IF(AND(OR(act_view_idx=1,act_view_idx=4),7&lt;=act_horizon_n),CHOOSE(act_scn_idx,AK203,BL203,CM203),"")</f>
        <v>0</v>
      </c>
      <c r="J68" s="62">
        <f>IF(AND(OR(act_view_idx=1,act_view_idx=4),8&lt;=act_horizon_n),CHOOSE(act_scn_idx,AL203,BM203,CN203),"")</f>
        <v>0</v>
      </c>
      <c r="K68" s="62">
        <f>IF(AND(OR(act_view_idx=1,act_view_idx=4),9&lt;=act_horizon_n),CHOOSE(act_scn_idx,AM203,BN203,CO203),"")</f>
        <v>0</v>
      </c>
      <c r="L68" s="62">
        <f>IF(AND(OR(act_view_idx=1,act_view_idx=4),10&lt;=act_horizon_n),CHOOSE(act_scn_idx,AN203,BO203,CP203),"")</f>
        <v>0</v>
      </c>
      <c r="M68" s="62">
        <f>IF(AND(OR(act_view_idx=1,act_view_idx=4),11&lt;=act_horizon_n),CHOOSE(act_scn_idx,AO203,BP203,CQ203),"")</f>
        <v>0</v>
      </c>
      <c r="N68" s="62">
        <f>IF(AND(OR(act_view_idx=1,act_view_idx=4),12&lt;=act_horizon_n),CHOOSE(act_scn_idx,AP203,BQ203,CR203),"")</f>
        <v>0</v>
      </c>
      <c r="O68" s="62">
        <f>IF(AND(OR(act_view_idx=1,act_view_idx=4),13&lt;=act_horizon_n),CHOOSE(act_scn_idx,AQ203,BR203,CS203),"")</f>
        <v>0</v>
      </c>
      <c r="P68" s="62">
        <f>IF(AND(OR(act_view_idx=1,act_view_idx=4),14&lt;=act_horizon_n),CHOOSE(act_scn_idx,AR203,BS203,CT203),"")</f>
        <v>0</v>
      </c>
      <c r="Q68" s="62">
        <f>IF(AND(OR(act_view_idx=1,act_view_idx=4),15&lt;=act_horizon_n),CHOOSE(act_scn_idx,AS203,BT203,CU203),"")</f>
        <v>0</v>
      </c>
      <c r="R68" s="62">
        <f>IF(AND(OR(act_view_idx=1,act_view_idx=4),16&lt;=act_horizon_n),CHOOSE(act_scn_idx,AT203,BU203,CV203),"")</f>
        <v>0</v>
      </c>
      <c r="S68" s="62">
        <f>IF(AND(OR(act_view_idx=1,act_view_idx=4),17&lt;=act_horizon_n),CHOOSE(act_scn_idx,AU203,BV203,CW203),"")</f>
        <v>0</v>
      </c>
      <c r="T68" s="62">
        <f>IF(AND(OR(act_view_idx=1,act_view_idx=4),18&lt;=act_horizon_n),CHOOSE(act_scn_idx,AV203,BW203,CX203),"")</f>
        <v>0</v>
      </c>
      <c r="U68" s="62">
        <f>IF(AND(OR(act_view_idx=1,act_view_idx=4),19&lt;=act_horizon_n),CHOOSE(act_scn_idx,AW203,BX203,CY203),"")</f>
        <v>0</v>
      </c>
      <c r="V68" s="62">
        <f>IF(AND(OR(act_view_idx=1,act_view_idx=4),20&lt;=act_horizon_n),CHOOSE(act_scn_idx,AX203,BY203,CZ203),"")</f>
        <v>0</v>
      </c>
      <c r="W68" s="62">
        <f>IF(AND(OR(act_view_idx=1,act_view_idx=4),21&lt;=act_horizon_n),CHOOSE(act_scn_idx,AY203,BZ203,DA203),"")</f>
        <v>0</v>
      </c>
      <c r="X68" s="62">
        <f>IF(AND(OR(act_view_idx=1,act_view_idx=4),22&lt;=act_horizon_n),CHOOSE(act_scn_idx,AZ203,CA203,DB203),"")</f>
        <v>0</v>
      </c>
      <c r="Y68" s="62">
        <f>IF(AND(OR(act_view_idx=1,act_view_idx=4),23&lt;=act_horizon_n),CHOOSE(act_scn_idx,BA203,CB203,DC203),"")</f>
        <v>0</v>
      </c>
      <c r="Z68" s="62">
        <f>IF(AND(OR(act_view_idx=1,act_view_idx=4),24&lt;=act_horizon_n),CHOOSE(act_scn_idx,BB203,CC203,DD203),"")</f>
        <v>0</v>
      </c>
      <c r="AA68" s="1"/>
      <c r="AB68" s="63">
        <f>IF(OR(act_view_idx=1,act_view_idx=4),CHOOSE(act_scn_idx,BC203,CD203,DE203),"")</f>
        <v>0</v>
      </c>
      <c r="AC68" s="63">
        <f>IF(AND(OR(act_view_idx=1,act_view_idx=4),act_horizon_n&gt;=24),CHOOSE(act_scn_idx,BD203,CE203,DF203),"")</f>
        <v>0</v>
      </c>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c r="DH68"/>
    </row>
    <row r="69" spans="1:112" ht="20" customHeight="1" x14ac:dyDescent="0.2">
      <c r="A69" s="1"/>
      <c r="B69" s="22" t="str">
        <f>IF(OR(act_view_idx=1,act_view_idx=4),"   Rent / occupancy","")</f>
        <v xml:space="preserve">   Rent / occupancy</v>
      </c>
      <c r="C69" s="62">
        <f>IF(AND(OR(act_view_idx=1,act_view_idx=4),1&lt;=act_horizon_n),CHOOSE(act_scn_idx,AE204,BF204,CG204),"")</f>
        <v>0</v>
      </c>
      <c r="D69" s="62">
        <f>IF(AND(OR(act_view_idx=1,act_view_idx=4),2&lt;=act_horizon_n),CHOOSE(act_scn_idx,AF204,BG204,CH204),"")</f>
        <v>0</v>
      </c>
      <c r="E69" s="62">
        <f>IF(AND(OR(act_view_idx=1,act_view_idx=4),3&lt;=act_horizon_n),CHOOSE(act_scn_idx,AG204,BH204,CI204),"")</f>
        <v>0</v>
      </c>
      <c r="F69" s="62">
        <f>IF(AND(OR(act_view_idx=1,act_view_idx=4),4&lt;=act_horizon_n),CHOOSE(act_scn_idx,AH204,BI204,CJ204),"")</f>
        <v>0</v>
      </c>
      <c r="G69" s="62">
        <f>IF(AND(OR(act_view_idx=1,act_view_idx=4),5&lt;=act_horizon_n),CHOOSE(act_scn_idx,AI204,BJ204,CK204),"")</f>
        <v>0</v>
      </c>
      <c r="H69" s="62">
        <f>IF(AND(OR(act_view_idx=1,act_view_idx=4),6&lt;=act_horizon_n),CHOOSE(act_scn_idx,AJ204,BK204,CL204),"")</f>
        <v>0</v>
      </c>
      <c r="I69" s="62">
        <f>IF(AND(OR(act_view_idx=1,act_view_idx=4),7&lt;=act_horizon_n),CHOOSE(act_scn_idx,AK204,BL204,CM204),"")</f>
        <v>0</v>
      </c>
      <c r="J69" s="62">
        <f>IF(AND(OR(act_view_idx=1,act_view_idx=4),8&lt;=act_horizon_n),CHOOSE(act_scn_idx,AL204,BM204,CN204),"")</f>
        <v>0</v>
      </c>
      <c r="K69" s="62">
        <f>IF(AND(OR(act_view_idx=1,act_view_idx=4),9&lt;=act_horizon_n),CHOOSE(act_scn_idx,AM204,BN204,CO204),"")</f>
        <v>0</v>
      </c>
      <c r="L69" s="62">
        <f>IF(AND(OR(act_view_idx=1,act_view_idx=4),10&lt;=act_horizon_n),CHOOSE(act_scn_idx,AN204,BO204,CP204),"")</f>
        <v>0</v>
      </c>
      <c r="M69" s="62">
        <f>IF(AND(OR(act_view_idx=1,act_view_idx=4),11&lt;=act_horizon_n),CHOOSE(act_scn_idx,AO204,BP204,CQ204),"")</f>
        <v>0</v>
      </c>
      <c r="N69" s="62">
        <f>IF(AND(OR(act_view_idx=1,act_view_idx=4),12&lt;=act_horizon_n),CHOOSE(act_scn_idx,AP204,BQ204,CR204),"")</f>
        <v>0</v>
      </c>
      <c r="O69" s="62">
        <f>IF(AND(OR(act_view_idx=1,act_view_idx=4),13&lt;=act_horizon_n),CHOOSE(act_scn_idx,AQ204,BR204,CS204),"")</f>
        <v>0</v>
      </c>
      <c r="P69" s="62">
        <f>IF(AND(OR(act_view_idx=1,act_view_idx=4),14&lt;=act_horizon_n),CHOOSE(act_scn_idx,AR204,BS204,CT204),"")</f>
        <v>0</v>
      </c>
      <c r="Q69" s="62">
        <f>IF(AND(OR(act_view_idx=1,act_view_idx=4),15&lt;=act_horizon_n),CHOOSE(act_scn_idx,AS204,BT204,CU204),"")</f>
        <v>0</v>
      </c>
      <c r="R69" s="62">
        <f>IF(AND(OR(act_view_idx=1,act_view_idx=4),16&lt;=act_horizon_n),CHOOSE(act_scn_idx,AT204,BU204,CV204),"")</f>
        <v>0</v>
      </c>
      <c r="S69" s="62">
        <f>IF(AND(OR(act_view_idx=1,act_view_idx=4),17&lt;=act_horizon_n),CHOOSE(act_scn_idx,AU204,BV204,CW204),"")</f>
        <v>0</v>
      </c>
      <c r="T69" s="62">
        <f>IF(AND(OR(act_view_idx=1,act_view_idx=4),18&lt;=act_horizon_n),CHOOSE(act_scn_idx,AV204,BW204,CX204),"")</f>
        <v>0</v>
      </c>
      <c r="U69" s="62">
        <f>IF(AND(OR(act_view_idx=1,act_view_idx=4),19&lt;=act_horizon_n),CHOOSE(act_scn_idx,AW204,BX204,CY204),"")</f>
        <v>0</v>
      </c>
      <c r="V69" s="62">
        <f>IF(AND(OR(act_view_idx=1,act_view_idx=4),20&lt;=act_horizon_n),CHOOSE(act_scn_idx,AX204,BY204,CZ204),"")</f>
        <v>0</v>
      </c>
      <c r="W69" s="62">
        <f>IF(AND(OR(act_view_idx=1,act_view_idx=4),21&lt;=act_horizon_n),CHOOSE(act_scn_idx,AY204,BZ204,DA204),"")</f>
        <v>0</v>
      </c>
      <c r="X69" s="62">
        <f>IF(AND(OR(act_view_idx=1,act_view_idx=4),22&lt;=act_horizon_n),CHOOSE(act_scn_idx,AZ204,CA204,DB204),"")</f>
        <v>0</v>
      </c>
      <c r="Y69" s="62">
        <f>IF(AND(OR(act_view_idx=1,act_view_idx=4),23&lt;=act_horizon_n),CHOOSE(act_scn_idx,BA204,CB204,DC204),"")</f>
        <v>0</v>
      </c>
      <c r="Z69" s="62">
        <f>IF(AND(OR(act_view_idx=1,act_view_idx=4),24&lt;=act_horizon_n),CHOOSE(act_scn_idx,BB204,CC204,DD204),"")</f>
        <v>0</v>
      </c>
      <c r="AA69" s="1"/>
      <c r="AB69" s="63">
        <f>IF(OR(act_view_idx=1,act_view_idx=4),CHOOSE(act_scn_idx,BC204,CD204,DE204),"")</f>
        <v>0</v>
      </c>
      <c r="AC69" s="63">
        <f>IF(AND(OR(act_view_idx=1,act_view_idx=4),act_horizon_n&gt;=24),CHOOSE(act_scn_idx,BD204,CE204,DF204),"")</f>
        <v>0</v>
      </c>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c r="DH69"/>
    </row>
    <row r="70" spans="1:112" ht="20" customHeight="1" x14ac:dyDescent="0.2">
      <c r="A70" s="1"/>
      <c r="B70" s="22" t="str">
        <f>IF(OR(act_view_idx=1,act_view_idx=4),"   Software &amp; systems","")</f>
        <v xml:space="preserve">   Software &amp; systems</v>
      </c>
      <c r="C70" s="62">
        <f>IF(AND(OR(act_view_idx=1,act_view_idx=4),1&lt;=act_horizon_n),CHOOSE(act_scn_idx,AE205,BF205,CG205),"")</f>
        <v>0</v>
      </c>
      <c r="D70" s="62">
        <f>IF(AND(OR(act_view_idx=1,act_view_idx=4),2&lt;=act_horizon_n),CHOOSE(act_scn_idx,AF205,BG205,CH205),"")</f>
        <v>0</v>
      </c>
      <c r="E70" s="62">
        <f>IF(AND(OR(act_view_idx=1,act_view_idx=4),3&lt;=act_horizon_n),CHOOSE(act_scn_idx,AG205,BH205,CI205),"")</f>
        <v>0</v>
      </c>
      <c r="F70" s="62">
        <f>IF(AND(OR(act_view_idx=1,act_view_idx=4),4&lt;=act_horizon_n),CHOOSE(act_scn_idx,AH205,BI205,CJ205),"")</f>
        <v>0</v>
      </c>
      <c r="G70" s="62">
        <f>IF(AND(OR(act_view_idx=1,act_view_idx=4),5&lt;=act_horizon_n),CHOOSE(act_scn_idx,AI205,BJ205,CK205),"")</f>
        <v>0</v>
      </c>
      <c r="H70" s="62">
        <f>IF(AND(OR(act_view_idx=1,act_view_idx=4),6&lt;=act_horizon_n),CHOOSE(act_scn_idx,AJ205,BK205,CL205),"")</f>
        <v>0</v>
      </c>
      <c r="I70" s="62">
        <f>IF(AND(OR(act_view_idx=1,act_view_idx=4),7&lt;=act_horizon_n),CHOOSE(act_scn_idx,AK205,BL205,CM205),"")</f>
        <v>0</v>
      </c>
      <c r="J70" s="62">
        <f>IF(AND(OR(act_view_idx=1,act_view_idx=4),8&lt;=act_horizon_n),CHOOSE(act_scn_idx,AL205,BM205,CN205),"")</f>
        <v>0</v>
      </c>
      <c r="K70" s="62">
        <f>IF(AND(OR(act_view_idx=1,act_view_idx=4),9&lt;=act_horizon_n),CHOOSE(act_scn_idx,AM205,BN205,CO205),"")</f>
        <v>0</v>
      </c>
      <c r="L70" s="62">
        <f>IF(AND(OR(act_view_idx=1,act_view_idx=4),10&lt;=act_horizon_n),CHOOSE(act_scn_idx,AN205,BO205,CP205),"")</f>
        <v>0</v>
      </c>
      <c r="M70" s="62">
        <f>IF(AND(OR(act_view_idx=1,act_view_idx=4),11&lt;=act_horizon_n),CHOOSE(act_scn_idx,AO205,BP205,CQ205),"")</f>
        <v>0</v>
      </c>
      <c r="N70" s="62">
        <f>IF(AND(OR(act_view_idx=1,act_view_idx=4),12&lt;=act_horizon_n),CHOOSE(act_scn_idx,AP205,BQ205,CR205),"")</f>
        <v>0</v>
      </c>
      <c r="O70" s="62">
        <f>IF(AND(OR(act_view_idx=1,act_view_idx=4),13&lt;=act_horizon_n),CHOOSE(act_scn_idx,AQ205,BR205,CS205),"")</f>
        <v>0</v>
      </c>
      <c r="P70" s="62">
        <f>IF(AND(OR(act_view_idx=1,act_view_idx=4),14&lt;=act_horizon_n),CHOOSE(act_scn_idx,AR205,BS205,CT205),"")</f>
        <v>0</v>
      </c>
      <c r="Q70" s="62">
        <f>IF(AND(OR(act_view_idx=1,act_view_idx=4),15&lt;=act_horizon_n),CHOOSE(act_scn_idx,AS205,BT205,CU205),"")</f>
        <v>0</v>
      </c>
      <c r="R70" s="62">
        <f>IF(AND(OR(act_view_idx=1,act_view_idx=4),16&lt;=act_horizon_n),CHOOSE(act_scn_idx,AT205,BU205,CV205),"")</f>
        <v>0</v>
      </c>
      <c r="S70" s="62">
        <f>IF(AND(OR(act_view_idx=1,act_view_idx=4),17&lt;=act_horizon_n),CHOOSE(act_scn_idx,AU205,BV205,CW205),"")</f>
        <v>0</v>
      </c>
      <c r="T70" s="62">
        <f>IF(AND(OR(act_view_idx=1,act_view_idx=4),18&lt;=act_horizon_n),CHOOSE(act_scn_idx,AV205,BW205,CX205),"")</f>
        <v>0</v>
      </c>
      <c r="U70" s="62">
        <f>IF(AND(OR(act_view_idx=1,act_view_idx=4),19&lt;=act_horizon_n),CHOOSE(act_scn_idx,AW205,BX205,CY205),"")</f>
        <v>0</v>
      </c>
      <c r="V70" s="62">
        <f>IF(AND(OR(act_view_idx=1,act_view_idx=4),20&lt;=act_horizon_n),CHOOSE(act_scn_idx,AX205,BY205,CZ205),"")</f>
        <v>0</v>
      </c>
      <c r="W70" s="62">
        <f>IF(AND(OR(act_view_idx=1,act_view_idx=4),21&lt;=act_horizon_n),CHOOSE(act_scn_idx,AY205,BZ205,DA205),"")</f>
        <v>0</v>
      </c>
      <c r="X70" s="62">
        <f>IF(AND(OR(act_view_idx=1,act_view_idx=4),22&lt;=act_horizon_n),CHOOSE(act_scn_idx,AZ205,CA205,DB205),"")</f>
        <v>0</v>
      </c>
      <c r="Y70" s="62">
        <f>IF(AND(OR(act_view_idx=1,act_view_idx=4),23&lt;=act_horizon_n),CHOOSE(act_scn_idx,BA205,CB205,DC205),"")</f>
        <v>0</v>
      </c>
      <c r="Z70" s="62">
        <f>IF(AND(OR(act_view_idx=1,act_view_idx=4),24&lt;=act_horizon_n),CHOOSE(act_scn_idx,BB205,CC205,DD205),"")</f>
        <v>0</v>
      </c>
      <c r="AA70" s="1"/>
      <c r="AB70" s="63">
        <f>IF(OR(act_view_idx=1,act_view_idx=4),CHOOSE(act_scn_idx,BC205,CD205,DE205),"")</f>
        <v>0</v>
      </c>
      <c r="AC70" s="63">
        <f>IF(AND(OR(act_view_idx=1,act_view_idx=4),act_horizon_n&gt;=24),CHOOSE(act_scn_idx,BD205,CE205,DF205),"")</f>
        <v>0</v>
      </c>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c r="DH70"/>
    </row>
    <row r="71" spans="1:112" ht="20" customHeight="1" x14ac:dyDescent="0.2">
      <c r="A71" s="1"/>
      <c r="B71" s="22" t="str">
        <f>IF(OR(act_view_idx=1,act_view_idx=4),"   Sales &amp; marketing","")</f>
        <v xml:space="preserve">   Sales &amp; marketing</v>
      </c>
      <c r="C71" s="62">
        <f>IF(AND(OR(act_view_idx=1,act_view_idx=4),1&lt;=act_horizon_n),CHOOSE(act_scn_idx,AE206,BF206,CG206),"")</f>
        <v>0</v>
      </c>
      <c r="D71" s="62">
        <f>IF(AND(OR(act_view_idx=1,act_view_idx=4),2&lt;=act_horizon_n),CHOOSE(act_scn_idx,AF206,BG206,CH206),"")</f>
        <v>0</v>
      </c>
      <c r="E71" s="62">
        <f>IF(AND(OR(act_view_idx=1,act_view_idx=4),3&lt;=act_horizon_n),CHOOSE(act_scn_idx,AG206,BH206,CI206),"")</f>
        <v>0</v>
      </c>
      <c r="F71" s="62">
        <f>IF(AND(OR(act_view_idx=1,act_view_idx=4),4&lt;=act_horizon_n),CHOOSE(act_scn_idx,AH206,BI206,CJ206),"")</f>
        <v>0</v>
      </c>
      <c r="G71" s="62">
        <f>IF(AND(OR(act_view_idx=1,act_view_idx=4),5&lt;=act_horizon_n),CHOOSE(act_scn_idx,AI206,BJ206,CK206),"")</f>
        <v>0</v>
      </c>
      <c r="H71" s="62">
        <f>IF(AND(OR(act_view_idx=1,act_view_idx=4),6&lt;=act_horizon_n),CHOOSE(act_scn_idx,AJ206,BK206,CL206),"")</f>
        <v>0</v>
      </c>
      <c r="I71" s="62">
        <f>IF(AND(OR(act_view_idx=1,act_view_idx=4),7&lt;=act_horizon_n),CHOOSE(act_scn_idx,AK206,BL206,CM206),"")</f>
        <v>0</v>
      </c>
      <c r="J71" s="62">
        <f>IF(AND(OR(act_view_idx=1,act_view_idx=4),8&lt;=act_horizon_n),CHOOSE(act_scn_idx,AL206,BM206,CN206),"")</f>
        <v>0</v>
      </c>
      <c r="K71" s="62">
        <f>IF(AND(OR(act_view_idx=1,act_view_idx=4),9&lt;=act_horizon_n),CHOOSE(act_scn_idx,AM206,BN206,CO206),"")</f>
        <v>0</v>
      </c>
      <c r="L71" s="62">
        <f>IF(AND(OR(act_view_idx=1,act_view_idx=4),10&lt;=act_horizon_n),CHOOSE(act_scn_idx,AN206,BO206,CP206),"")</f>
        <v>0</v>
      </c>
      <c r="M71" s="62">
        <f>IF(AND(OR(act_view_idx=1,act_view_idx=4),11&lt;=act_horizon_n),CHOOSE(act_scn_idx,AO206,BP206,CQ206),"")</f>
        <v>0</v>
      </c>
      <c r="N71" s="62">
        <f>IF(AND(OR(act_view_idx=1,act_view_idx=4),12&lt;=act_horizon_n),CHOOSE(act_scn_idx,AP206,BQ206,CR206),"")</f>
        <v>0</v>
      </c>
      <c r="O71" s="62">
        <f>IF(AND(OR(act_view_idx=1,act_view_idx=4),13&lt;=act_horizon_n),CHOOSE(act_scn_idx,AQ206,BR206,CS206),"")</f>
        <v>0</v>
      </c>
      <c r="P71" s="62">
        <f>IF(AND(OR(act_view_idx=1,act_view_idx=4),14&lt;=act_horizon_n),CHOOSE(act_scn_idx,AR206,BS206,CT206),"")</f>
        <v>0</v>
      </c>
      <c r="Q71" s="62">
        <f>IF(AND(OR(act_view_idx=1,act_view_idx=4),15&lt;=act_horizon_n),CHOOSE(act_scn_idx,AS206,BT206,CU206),"")</f>
        <v>0</v>
      </c>
      <c r="R71" s="62">
        <f>IF(AND(OR(act_view_idx=1,act_view_idx=4),16&lt;=act_horizon_n),CHOOSE(act_scn_idx,AT206,BU206,CV206),"")</f>
        <v>0</v>
      </c>
      <c r="S71" s="62">
        <f>IF(AND(OR(act_view_idx=1,act_view_idx=4),17&lt;=act_horizon_n),CHOOSE(act_scn_idx,AU206,BV206,CW206),"")</f>
        <v>0</v>
      </c>
      <c r="T71" s="62">
        <f>IF(AND(OR(act_view_idx=1,act_view_idx=4),18&lt;=act_horizon_n),CHOOSE(act_scn_idx,AV206,BW206,CX206),"")</f>
        <v>0</v>
      </c>
      <c r="U71" s="62">
        <f>IF(AND(OR(act_view_idx=1,act_view_idx=4),19&lt;=act_horizon_n),CHOOSE(act_scn_idx,AW206,BX206,CY206),"")</f>
        <v>0</v>
      </c>
      <c r="V71" s="62">
        <f>IF(AND(OR(act_view_idx=1,act_view_idx=4),20&lt;=act_horizon_n),CHOOSE(act_scn_idx,AX206,BY206,CZ206),"")</f>
        <v>0</v>
      </c>
      <c r="W71" s="62">
        <f>IF(AND(OR(act_view_idx=1,act_view_idx=4),21&lt;=act_horizon_n),CHOOSE(act_scn_idx,AY206,BZ206,DA206),"")</f>
        <v>0</v>
      </c>
      <c r="X71" s="62">
        <f>IF(AND(OR(act_view_idx=1,act_view_idx=4),22&lt;=act_horizon_n),CHOOSE(act_scn_idx,AZ206,CA206,DB206),"")</f>
        <v>0</v>
      </c>
      <c r="Y71" s="62">
        <f>IF(AND(OR(act_view_idx=1,act_view_idx=4),23&lt;=act_horizon_n),CHOOSE(act_scn_idx,BA206,CB206,DC206),"")</f>
        <v>0</v>
      </c>
      <c r="Z71" s="62">
        <f>IF(AND(OR(act_view_idx=1,act_view_idx=4),24&lt;=act_horizon_n),CHOOSE(act_scn_idx,BB206,CC206,DD206),"")</f>
        <v>0</v>
      </c>
      <c r="AA71" s="1"/>
      <c r="AB71" s="63">
        <f>IF(OR(act_view_idx=1,act_view_idx=4),CHOOSE(act_scn_idx,BC206,CD206,DE206),"")</f>
        <v>0</v>
      </c>
      <c r="AC71" s="63">
        <f>IF(AND(OR(act_view_idx=1,act_view_idx=4),act_horizon_n&gt;=24),CHOOSE(act_scn_idx,BD206,CE206,DF206),"")</f>
        <v>0</v>
      </c>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c r="DH71"/>
    </row>
    <row r="72" spans="1:112" ht="20" customHeight="1" x14ac:dyDescent="0.2">
      <c r="A72" s="1"/>
      <c r="B72" s="22" t="str">
        <f>IF(OR(act_view_idx=1,act_view_idx=4),"   Prof. fees + insurance + other","")</f>
        <v xml:space="preserve">   Prof. fees + insurance + other</v>
      </c>
      <c r="C72" s="62">
        <f>IF(AND(OR(act_view_idx=1,act_view_idx=4),1&lt;=act_horizon_n),CHOOSE(act_scn_idx,(AE207+AE208+AE209),(BF207+BF208+BF209),(CG207+CG208+CG209)),"")</f>
        <v>0</v>
      </c>
      <c r="D72" s="62">
        <f>IF(AND(OR(act_view_idx=1,act_view_idx=4),2&lt;=act_horizon_n),CHOOSE(act_scn_idx,(AF207+AF208+AF209),(BG207+BG208+BG209),(CH207+CH208+CH209)),"")</f>
        <v>0</v>
      </c>
      <c r="E72" s="62">
        <f>IF(AND(OR(act_view_idx=1,act_view_idx=4),3&lt;=act_horizon_n),CHOOSE(act_scn_idx,(AG207+AG208+AG209),(BH207+BH208+BH209),(CI207+CI208+CI209)),"")</f>
        <v>0</v>
      </c>
      <c r="F72" s="62">
        <f>IF(AND(OR(act_view_idx=1,act_view_idx=4),4&lt;=act_horizon_n),CHOOSE(act_scn_idx,(AH207+AH208+AH209),(BI207+BI208+BI209),(CJ207+CJ208+CJ209)),"")</f>
        <v>0</v>
      </c>
      <c r="G72" s="62">
        <f>IF(AND(OR(act_view_idx=1,act_view_idx=4),5&lt;=act_horizon_n),CHOOSE(act_scn_idx,(AI207+AI208+AI209),(BJ207+BJ208+BJ209),(CK207+CK208+CK209)),"")</f>
        <v>0</v>
      </c>
      <c r="H72" s="62">
        <f>IF(AND(OR(act_view_idx=1,act_view_idx=4),6&lt;=act_horizon_n),CHOOSE(act_scn_idx,(AJ207+AJ208+AJ209),(BK207+BK208+BK209),(CL207+CL208+CL209)),"")</f>
        <v>0</v>
      </c>
      <c r="I72" s="62">
        <f>IF(AND(OR(act_view_idx=1,act_view_idx=4),7&lt;=act_horizon_n),CHOOSE(act_scn_idx,(AK207+AK208+AK209),(BL207+BL208+BL209),(CM207+CM208+CM209)),"")</f>
        <v>0</v>
      </c>
      <c r="J72" s="62">
        <f>IF(AND(OR(act_view_idx=1,act_view_idx=4),8&lt;=act_horizon_n),CHOOSE(act_scn_idx,(AL207+AL208+AL209),(BM207+BM208+BM209),(CN207+CN208+CN209)),"")</f>
        <v>0</v>
      </c>
      <c r="K72" s="62">
        <f>IF(AND(OR(act_view_idx=1,act_view_idx=4),9&lt;=act_horizon_n),CHOOSE(act_scn_idx,(AM207+AM208+AM209),(BN207+BN208+BN209),(CO207+CO208+CO209)),"")</f>
        <v>0</v>
      </c>
      <c r="L72" s="62">
        <f>IF(AND(OR(act_view_idx=1,act_view_idx=4),10&lt;=act_horizon_n),CHOOSE(act_scn_idx,(AN207+AN208+AN209),(BO207+BO208+BO209),(CP207+CP208+CP209)),"")</f>
        <v>0</v>
      </c>
      <c r="M72" s="62">
        <f>IF(AND(OR(act_view_idx=1,act_view_idx=4),11&lt;=act_horizon_n),CHOOSE(act_scn_idx,(AO207+AO208+AO209),(BP207+BP208+BP209),(CQ207+CQ208+CQ209)),"")</f>
        <v>0</v>
      </c>
      <c r="N72" s="62">
        <f>IF(AND(OR(act_view_idx=1,act_view_idx=4),12&lt;=act_horizon_n),CHOOSE(act_scn_idx,(AP207+AP208+AP209),(BQ207+BQ208+BQ209),(CR207+CR208+CR209)),"")</f>
        <v>0</v>
      </c>
      <c r="O72" s="62">
        <f>IF(AND(OR(act_view_idx=1,act_view_idx=4),13&lt;=act_horizon_n),CHOOSE(act_scn_idx,(AQ207+AQ208+AQ209),(BR207+BR208+BR209),(CS207+CS208+CS209)),"")</f>
        <v>0</v>
      </c>
      <c r="P72" s="62">
        <f>IF(AND(OR(act_view_idx=1,act_view_idx=4),14&lt;=act_horizon_n),CHOOSE(act_scn_idx,(AR207+AR208+AR209),(BS207+BS208+BS209),(CT207+CT208+CT209)),"")</f>
        <v>0</v>
      </c>
      <c r="Q72" s="62">
        <f>IF(AND(OR(act_view_idx=1,act_view_idx=4),15&lt;=act_horizon_n),CHOOSE(act_scn_idx,(AS207+AS208+AS209),(BT207+BT208+BT209),(CU207+CU208+CU209)),"")</f>
        <v>0</v>
      </c>
      <c r="R72" s="62">
        <f>IF(AND(OR(act_view_idx=1,act_view_idx=4),16&lt;=act_horizon_n),CHOOSE(act_scn_idx,(AT207+AT208+AT209),(BU207+BU208+BU209),(CV207+CV208+CV209)),"")</f>
        <v>0</v>
      </c>
      <c r="S72" s="62">
        <f>IF(AND(OR(act_view_idx=1,act_view_idx=4),17&lt;=act_horizon_n),CHOOSE(act_scn_idx,(AU207+AU208+AU209),(BV207+BV208+BV209),(CW207+CW208+CW209)),"")</f>
        <v>0</v>
      </c>
      <c r="T72" s="62">
        <f>IF(AND(OR(act_view_idx=1,act_view_idx=4),18&lt;=act_horizon_n),CHOOSE(act_scn_idx,(AV207+AV208+AV209),(BW207+BW208+BW209),(CX207+CX208+CX209)),"")</f>
        <v>0</v>
      </c>
      <c r="U72" s="62">
        <f>IF(AND(OR(act_view_idx=1,act_view_idx=4),19&lt;=act_horizon_n),CHOOSE(act_scn_idx,(AW207+AW208+AW209),(BX207+BX208+BX209),(CY207+CY208+CY209)),"")</f>
        <v>0</v>
      </c>
      <c r="V72" s="62">
        <f>IF(AND(OR(act_view_idx=1,act_view_idx=4),20&lt;=act_horizon_n),CHOOSE(act_scn_idx,(AX207+AX208+AX209),(BY207+BY208+BY209),(CZ207+CZ208+CZ209)),"")</f>
        <v>0</v>
      </c>
      <c r="W72" s="62">
        <f>IF(AND(OR(act_view_idx=1,act_view_idx=4),21&lt;=act_horizon_n),CHOOSE(act_scn_idx,(AY207+AY208+AY209),(BZ207+BZ208+BZ209),(DA207+DA208+DA209)),"")</f>
        <v>0</v>
      </c>
      <c r="X72" s="62">
        <f>IF(AND(OR(act_view_idx=1,act_view_idx=4),22&lt;=act_horizon_n),CHOOSE(act_scn_idx,(AZ207+AZ208+AZ209),(CA207+CA208+CA209),(DB207+DB208+DB209)),"")</f>
        <v>0</v>
      </c>
      <c r="Y72" s="62">
        <f>IF(AND(OR(act_view_idx=1,act_view_idx=4),23&lt;=act_horizon_n),CHOOSE(act_scn_idx,(BA207+BA208+BA209),(CB207+CB208+CB209),(DC207+DC208+DC209)),"")</f>
        <v>0</v>
      </c>
      <c r="Z72" s="62">
        <f>IF(AND(OR(act_view_idx=1,act_view_idx=4),24&lt;=act_horizon_n),CHOOSE(act_scn_idx,(BB207+BB208+BB209),(CC207+CC208+CC209),(DD207+DD208+DD209)),"")</f>
        <v>0</v>
      </c>
      <c r="AA72" s="1"/>
      <c r="AB72" s="63">
        <f>IF(OR(act_view_idx=1,act_view_idx=4),CHOOSE(act_scn_idx,(BC207+BC208+BC209),(CD207+CD208+CD209),(DE207+DE208+DE209)),"")</f>
        <v>0</v>
      </c>
      <c r="AC72" s="63">
        <f>IF(AND(OR(act_view_idx=1,act_view_idx=4),act_horizon_n&gt;=24),CHOOSE(act_scn_idx,(BD207+BD208+BD209),(CE207+CE208+CE209),(DF207+DF208+DF209)),"")</f>
        <v>0</v>
      </c>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c r="DH72"/>
    </row>
    <row r="73" spans="1:112" ht="20" customHeight="1" x14ac:dyDescent="0.2">
      <c r="A73" s="1"/>
      <c r="B73" s="64" t="str">
        <f>IF(OR(act_view_idx=1,act_view_idx=4),"Total operating expenses","")</f>
        <v>Total operating expenses</v>
      </c>
      <c r="C73" s="65">
        <f>IF(AND(OR(act_view_idx=1,act_view_idx=4),1&lt;=act_horizon_n),CHOOSE(act_scn_idx,AE210,BF210,CG210),"")</f>
        <v>0</v>
      </c>
      <c r="D73" s="65">
        <f>IF(AND(OR(act_view_idx=1,act_view_idx=4),2&lt;=act_horizon_n),CHOOSE(act_scn_idx,AF210,BG210,CH210),"")</f>
        <v>0</v>
      </c>
      <c r="E73" s="65">
        <f>IF(AND(OR(act_view_idx=1,act_view_idx=4),3&lt;=act_horizon_n),CHOOSE(act_scn_idx,AG210,BH210,CI210),"")</f>
        <v>0</v>
      </c>
      <c r="F73" s="65">
        <f>IF(AND(OR(act_view_idx=1,act_view_idx=4),4&lt;=act_horizon_n),CHOOSE(act_scn_idx,AH210,BI210,CJ210),"")</f>
        <v>0</v>
      </c>
      <c r="G73" s="65">
        <f>IF(AND(OR(act_view_idx=1,act_view_idx=4),5&lt;=act_horizon_n),CHOOSE(act_scn_idx,AI210,BJ210,CK210),"")</f>
        <v>0</v>
      </c>
      <c r="H73" s="65">
        <f>IF(AND(OR(act_view_idx=1,act_view_idx=4),6&lt;=act_horizon_n),CHOOSE(act_scn_idx,AJ210,BK210,CL210),"")</f>
        <v>0</v>
      </c>
      <c r="I73" s="65">
        <f>IF(AND(OR(act_view_idx=1,act_view_idx=4),7&lt;=act_horizon_n),CHOOSE(act_scn_idx,AK210,BL210,CM210),"")</f>
        <v>0</v>
      </c>
      <c r="J73" s="65">
        <f>IF(AND(OR(act_view_idx=1,act_view_idx=4),8&lt;=act_horizon_n),CHOOSE(act_scn_idx,AL210,BM210,CN210),"")</f>
        <v>0</v>
      </c>
      <c r="K73" s="65">
        <f>IF(AND(OR(act_view_idx=1,act_view_idx=4),9&lt;=act_horizon_n),CHOOSE(act_scn_idx,AM210,BN210,CO210),"")</f>
        <v>0</v>
      </c>
      <c r="L73" s="65">
        <f>IF(AND(OR(act_view_idx=1,act_view_idx=4),10&lt;=act_horizon_n),CHOOSE(act_scn_idx,AN210,BO210,CP210),"")</f>
        <v>0</v>
      </c>
      <c r="M73" s="65">
        <f>IF(AND(OR(act_view_idx=1,act_view_idx=4),11&lt;=act_horizon_n),CHOOSE(act_scn_idx,AO210,BP210,CQ210),"")</f>
        <v>0</v>
      </c>
      <c r="N73" s="65">
        <f>IF(AND(OR(act_view_idx=1,act_view_idx=4),12&lt;=act_horizon_n),CHOOSE(act_scn_idx,AP210,BQ210,CR210),"")</f>
        <v>0</v>
      </c>
      <c r="O73" s="65">
        <f>IF(AND(OR(act_view_idx=1,act_view_idx=4),13&lt;=act_horizon_n),CHOOSE(act_scn_idx,AQ210,BR210,CS210),"")</f>
        <v>0</v>
      </c>
      <c r="P73" s="65">
        <f>IF(AND(OR(act_view_idx=1,act_view_idx=4),14&lt;=act_horizon_n),CHOOSE(act_scn_idx,AR210,BS210,CT210),"")</f>
        <v>0</v>
      </c>
      <c r="Q73" s="65">
        <f>IF(AND(OR(act_view_idx=1,act_view_idx=4),15&lt;=act_horizon_n),CHOOSE(act_scn_idx,AS210,BT210,CU210),"")</f>
        <v>0</v>
      </c>
      <c r="R73" s="65">
        <f>IF(AND(OR(act_view_idx=1,act_view_idx=4),16&lt;=act_horizon_n),CHOOSE(act_scn_idx,AT210,BU210,CV210),"")</f>
        <v>0</v>
      </c>
      <c r="S73" s="65">
        <f>IF(AND(OR(act_view_idx=1,act_view_idx=4),17&lt;=act_horizon_n),CHOOSE(act_scn_idx,AU210,BV210,CW210),"")</f>
        <v>0</v>
      </c>
      <c r="T73" s="65">
        <f>IF(AND(OR(act_view_idx=1,act_view_idx=4),18&lt;=act_horizon_n),CHOOSE(act_scn_idx,AV210,BW210,CX210),"")</f>
        <v>0</v>
      </c>
      <c r="U73" s="65">
        <f>IF(AND(OR(act_view_idx=1,act_view_idx=4),19&lt;=act_horizon_n),CHOOSE(act_scn_idx,AW210,BX210,CY210),"")</f>
        <v>0</v>
      </c>
      <c r="V73" s="65">
        <f>IF(AND(OR(act_view_idx=1,act_view_idx=4),20&lt;=act_horizon_n),CHOOSE(act_scn_idx,AX210,BY210,CZ210),"")</f>
        <v>0</v>
      </c>
      <c r="W73" s="65">
        <f>IF(AND(OR(act_view_idx=1,act_view_idx=4),21&lt;=act_horizon_n),CHOOSE(act_scn_idx,AY210,BZ210,DA210),"")</f>
        <v>0</v>
      </c>
      <c r="X73" s="65">
        <f>IF(AND(OR(act_view_idx=1,act_view_idx=4),22&lt;=act_horizon_n),CHOOSE(act_scn_idx,AZ210,CA210,DB210),"")</f>
        <v>0</v>
      </c>
      <c r="Y73" s="65">
        <f>IF(AND(OR(act_view_idx=1,act_view_idx=4),23&lt;=act_horizon_n),CHOOSE(act_scn_idx,BA210,CB210,DC210),"")</f>
        <v>0</v>
      </c>
      <c r="Z73" s="65">
        <f>IF(AND(OR(act_view_idx=1,act_view_idx=4),24&lt;=act_horizon_n),CHOOSE(act_scn_idx,BB210,CC210,DD210),"")</f>
        <v>0</v>
      </c>
      <c r="AA73" s="1"/>
      <c r="AB73" s="65">
        <f>IF(OR(act_view_idx=1,act_view_idx=4),CHOOSE(act_scn_idx,BC210,CD210,DE210),"")</f>
        <v>0</v>
      </c>
      <c r="AC73" s="65">
        <f>IF(AND(OR(act_view_idx=1,act_view_idx=4),act_horizon_n&gt;=24),CHOOSE(act_scn_idx,BD210,CE210,DF210),"")</f>
        <v>0</v>
      </c>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c r="DH73"/>
    </row>
    <row r="74" spans="1:112" ht="20" customHeight="1" x14ac:dyDescent="0.2">
      <c r="A74" s="1"/>
      <c r="B74" s="66" t="str">
        <f>IF(OR(act_view_idx=1,act_view_idx=4),"EBITDA","")</f>
        <v>EBITDA</v>
      </c>
      <c r="C74" s="67">
        <f>IF(AND(OR(act_view_idx=1,act_view_idx=4),1&lt;=act_horizon_n),CHOOSE(act_scn_idx,AE211,BF211,CG211),"")</f>
        <v>0</v>
      </c>
      <c r="D74" s="67">
        <f>IF(AND(OR(act_view_idx=1,act_view_idx=4),2&lt;=act_horizon_n),CHOOSE(act_scn_idx,AF211,BG211,CH211),"")</f>
        <v>0</v>
      </c>
      <c r="E74" s="67">
        <f>IF(AND(OR(act_view_idx=1,act_view_idx=4),3&lt;=act_horizon_n),CHOOSE(act_scn_idx,AG211,BH211,CI211),"")</f>
        <v>0</v>
      </c>
      <c r="F74" s="67">
        <f>IF(AND(OR(act_view_idx=1,act_view_idx=4),4&lt;=act_horizon_n),CHOOSE(act_scn_idx,AH211,BI211,CJ211),"")</f>
        <v>0</v>
      </c>
      <c r="G74" s="67">
        <f>IF(AND(OR(act_view_idx=1,act_view_idx=4),5&lt;=act_horizon_n),CHOOSE(act_scn_idx,AI211,BJ211,CK211),"")</f>
        <v>0</v>
      </c>
      <c r="H74" s="67">
        <f>IF(AND(OR(act_view_idx=1,act_view_idx=4),6&lt;=act_horizon_n),CHOOSE(act_scn_idx,AJ211,BK211,CL211),"")</f>
        <v>0</v>
      </c>
      <c r="I74" s="67">
        <f>IF(AND(OR(act_view_idx=1,act_view_idx=4),7&lt;=act_horizon_n),CHOOSE(act_scn_idx,AK211,BL211,CM211),"")</f>
        <v>0</v>
      </c>
      <c r="J74" s="67">
        <f>IF(AND(OR(act_view_idx=1,act_view_idx=4),8&lt;=act_horizon_n),CHOOSE(act_scn_idx,AL211,BM211,CN211),"")</f>
        <v>0</v>
      </c>
      <c r="K74" s="67">
        <f>IF(AND(OR(act_view_idx=1,act_view_idx=4),9&lt;=act_horizon_n),CHOOSE(act_scn_idx,AM211,BN211,CO211),"")</f>
        <v>0</v>
      </c>
      <c r="L74" s="67">
        <f>IF(AND(OR(act_view_idx=1,act_view_idx=4),10&lt;=act_horizon_n),CHOOSE(act_scn_idx,AN211,BO211,CP211),"")</f>
        <v>0</v>
      </c>
      <c r="M74" s="67">
        <f>IF(AND(OR(act_view_idx=1,act_view_idx=4),11&lt;=act_horizon_n),CHOOSE(act_scn_idx,AO211,BP211,CQ211),"")</f>
        <v>0</v>
      </c>
      <c r="N74" s="67">
        <f>IF(AND(OR(act_view_idx=1,act_view_idx=4),12&lt;=act_horizon_n),CHOOSE(act_scn_idx,AP211,BQ211,CR211),"")</f>
        <v>0</v>
      </c>
      <c r="O74" s="67">
        <f>IF(AND(OR(act_view_idx=1,act_view_idx=4),13&lt;=act_horizon_n),CHOOSE(act_scn_idx,AQ211,BR211,CS211),"")</f>
        <v>0</v>
      </c>
      <c r="P74" s="67">
        <f>IF(AND(OR(act_view_idx=1,act_view_idx=4),14&lt;=act_horizon_n),CHOOSE(act_scn_idx,AR211,BS211,CT211),"")</f>
        <v>0</v>
      </c>
      <c r="Q74" s="67">
        <f>IF(AND(OR(act_view_idx=1,act_view_idx=4),15&lt;=act_horizon_n),CHOOSE(act_scn_idx,AS211,BT211,CU211),"")</f>
        <v>0</v>
      </c>
      <c r="R74" s="67">
        <f>IF(AND(OR(act_view_idx=1,act_view_idx=4),16&lt;=act_horizon_n),CHOOSE(act_scn_idx,AT211,BU211,CV211),"")</f>
        <v>0</v>
      </c>
      <c r="S74" s="67">
        <f>IF(AND(OR(act_view_idx=1,act_view_idx=4),17&lt;=act_horizon_n),CHOOSE(act_scn_idx,AU211,BV211,CW211),"")</f>
        <v>0</v>
      </c>
      <c r="T74" s="67">
        <f>IF(AND(OR(act_view_idx=1,act_view_idx=4),18&lt;=act_horizon_n),CHOOSE(act_scn_idx,AV211,BW211,CX211),"")</f>
        <v>0</v>
      </c>
      <c r="U74" s="67">
        <f>IF(AND(OR(act_view_idx=1,act_view_idx=4),19&lt;=act_horizon_n),CHOOSE(act_scn_idx,AW211,BX211,CY211),"")</f>
        <v>0</v>
      </c>
      <c r="V74" s="67">
        <f>IF(AND(OR(act_view_idx=1,act_view_idx=4),20&lt;=act_horizon_n),CHOOSE(act_scn_idx,AX211,BY211,CZ211),"")</f>
        <v>0</v>
      </c>
      <c r="W74" s="67">
        <f>IF(AND(OR(act_view_idx=1,act_view_idx=4),21&lt;=act_horizon_n),CHOOSE(act_scn_idx,AY211,BZ211,DA211),"")</f>
        <v>0</v>
      </c>
      <c r="X74" s="67">
        <f>IF(AND(OR(act_view_idx=1,act_view_idx=4),22&lt;=act_horizon_n),CHOOSE(act_scn_idx,AZ211,CA211,DB211),"")</f>
        <v>0</v>
      </c>
      <c r="Y74" s="67">
        <f>IF(AND(OR(act_view_idx=1,act_view_idx=4),23&lt;=act_horizon_n),CHOOSE(act_scn_idx,BA211,CB211,DC211),"")</f>
        <v>0</v>
      </c>
      <c r="Z74" s="67">
        <f>IF(AND(OR(act_view_idx=1,act_view_idx=4),24&lt;=act_horizon_n),CHOOSE(act_scn_idx,BB211,CC211,DD211),"")</f>
        <v>0</v>
      </c>
      <c r="AA74" s="1"/>
      <c r="AB74" s="67">
        <f>IF(OR(act_view_idx=1,act_view_idx=4),CHOOSE(act_scn_idx,BC211,CD211,DE211),"")</f>
        <v>0</v>
      </c>
      <c r="AC74" s="67">
        <f>IF(AND(OR(act_view_idx=1,act_view_idx=4),act_horizon_n&gt;=24),CHOOSE(act_scn_idx,BD211,CE211,DF211),"")</f>
        <v>0</v>
      </c>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c r="DH74"/>
    </row>
    <row r="75" spans="1:112" ht="20" customHeight="1" x14ac:dyDescent="0.2">
      <c r="A75" s="1"/>
      <c r="B75" s="23" t="str">
        <f>IF(OR(act_view_idx=1,act_view_idx=4),"   EBITDA %","")</f>
        <v xml:space="preserve">   EBITDA %</v>
      </c>
      <c r="C75" s="68">
        <f>IF(AND(OR(act_view_idx=1,act_view_idx=4),1&lt;=act_horizon_n),CHOOSE(act_scn_idx,AE212,BF212,CG212),"")</f>
        <v>0</v>
      </c>
      <c r="D75" s="68">
        <f>IF(AND(OR(act_view_idx=1,act_view_idx=4),2&lt;=act_horizon_n),CHOOSE(act_scn_idx,AF212,BG212,CH212),"")</f>
        <v>0</v>
      </c>
      <c r="E75" s="68">
        <f>IF(AND(OR(act_view_idx=1,act_view_idx=4),3&lt;=act_horizon_n),CHOOSE(act_scn_idx,AG212,BH212,CI212),"")</f>
        <v>0</v>
      </c>
      <c r="F75" s="68">
        <f>IF(AND(OR(act_view_idx=1,act_view_idx=4),4&lt;=act_horizon_n),CHOOSE(act_scn_idx,AH212,BI212,CJ212),"")</f>
        <v>0</v>
      </c>
      <c r="G75" s="68">
        <f>IF(AND(OR(act_view_idx=1,act_view_idx=4),5&lt;=act_horizon_n),CHOOSE(act_scn_idx,AI212,BJ212,CK212),"")</f>
        <v>0</v>
      </c>
      <c r="H75" s="68">
        <f>IF(AND(OR(act_view_idx=1,act_view_idx=4),6&lt;=act_horizon_n),CHOOSE(act_scn_idx,AJ212,BK212,CL212),"")</f>
        <v>0</v>
      </c>
      <c r="I75" s="68">
        <f>IF(AND(OR(act_view_idx=1,act_view_idx=4),7&lt;=act_horizon_n),CHOOSE(act_scn_idx,AK212,BL212,CM212),"")</f>
        <v>0</v>
      </c>
      <c r="J75" s="68">
        <f>IF(AND(OR(act_view_idx=1,act_view_idx=4),8&lt;=act_horizon_n),CHOOSE(act_scn_idx,AL212,BM212,CN212),"")</f>
        <v>0</v>
      </c>
      <c r="K75" s="68">
        <f>IF(AND(OR(act_view_idx=1,act_view_idx=4),9&lt;=act_horizon_n),CHOOSE(act_scn_idx,AM212,BN212,CO212),"")</f>
        <v>0</v>
      </c>
      <c r="L75" s="68">
        <f>IF(AND(OR(act_view_idx=1,act_view_idx=4),10&lt;=act_horizon_n),CHOOSE(act_scn_idx,AN212,BO212,CP212),"")</f>
        <v>0</v>
      </c>
      <c r="M75" s="68">
        <f>IF(AND(OR(act_view_idx=1,act_view_idx=4),11&lt;=act_horizon_n),CHOOSE(act_scn_idx,AO212,BP212,CQ212),"")</f>
        <v>0</v>
      </c>
      <c r="N75" s="68">
        <f>IF(AND(OR(act_view_idx=1,act_view_idx=4),12&lt;=act_horizon_n),CHOOSE(act_scn_idx,AP212,BQ212,CR212),"")</f>
        <v>0</v>
      </c>
      <c r="O75" s="68">
        <f>IF(AND(OR(act_view_idx=1,act_view_idx=4),13&lt;=act_horizon_n),CHOOSE(act_scn_idx,AQ212,BR212,CS212),"")</f>
        <v>0</v>
      </c>
      <c r="P75" s="68">
        <f>IF(AND(OR(act_view_idx=1,act_view_idx=4),14&lt;=act_horizon_n),CHOOSE(act_scn_idx,AR212,BS212,CT212),"")</f>
        <v>0</v>
      </c>
      <c r="Q75" s="68">
        <f>IF(AND(OR(act_view_idx=1,act_view_idx=4),15&lt;=act_horizon_n),CHOOSE(act_scn_idx,AS212,BT212,CU212),"")</f>
        <v>0</v>
      </c>
      <c r="R75" s="68">
        <f>IF(AND(OR(act_view_idx=1,act_view_idx=4),16&lt;=act_horizon_n),CHOOSE(act_scn_idx,AT212,BU212,CV212),"")</f>
        <v>0</v>
      </c>
      <c r="S75" s="68">
        <f>IF(AND(OR(act_view_idx=1,act_view_idx=4),17&lt;=act_horizon_n),CHOOSE(act_scn_idx,AU212,BV212,CW212),"")</f>
        <v>0</v>
      </c>
      <c r="T75" s="68">
        <f>IF(AND(OR(act_view_idx=1,act_view_idx=4),18&lt;=act_horizon_n),CHOOSE(act_scn_idx,AV212,BW212,CX212),"")</f>
        <v>0</v>
      </c>
      <c r="U75" s="68">
        <f>IF(AND(OR(act_view_idx=1,act_view_idx=4),19&lt;=act_horizon_n),CHOOSE(act_scn_idx,AW212,BX212,CY212),"")</f>
        <v>0</v>
      </c>
      <c r="V75" s="68">
        <f>IF(AND(OR(act_view_idx=1,act_view_idx=4),20&lt;=act_horizon_n),CHOOSE(act_scn_idx,AX212,BY212,CZ212),"")</f>
        <v>0</v>
      </c>
      <c r="W75" s="68">
        <f>IF(AND(OR(act_view_idx=1,act_view_idx=4),21&lt;=act_horizon_n),CHOOSE(act_scn_idx,AY212,BZ212,DA212),"")</f>
        <v>0</v>
      </c>
      <c r="X75" s="68">
        <f>IF(AND(OR(act_view_idx=1,act_view_idx=4),22&lt;=act_horizon_n),CHOOSE(act_scn_idx,AZ212,CA212,DB212),"")</f>
        <v>0</v>
      </c>
      <c r="Y75" s="68">
        <f>IF(AND(OR(act_view_idx=1,act_view_idx=4),23&lt;=act_horizon_n),CHOOSE(act_scn_idx,BA212,CB212,DC212),"")</f>
        <v>0</v>
      </c>
      <c r="Z75" s="68">
        <f>IF(AND(OR(act_view_idx=1,act_view_idx=4),24&lt;=act_horizon_n),CHOOSE(act_scn_idx,BB212,CC212,DD212),"")</f>
        <v>0</v>
      </c>
      <c r="AA75" s="1"/>
      <c r="AB75" s="68">
        <f>IF(OR(act_view_idx=1,act_view_idx=4),CHOOSE(act_scn_idx,BC212,CD212,DE212),"")</f>
        <v>0</v>
      </c>
      <c r="AC75" s="68">
        <f>IF(AND(OR(act_view_idx=1,act_view_idx=4),act_horizon_n&gt;=24),CHOOSE(act_scn_idx,BD212,CE212,DF212),"")</f>
        <v>0</v>
      </c>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c r="DH75"/>
    </row>
    <row r="76" spans="1:112" ht="20" customHeight="1" x14ac:dyDescent="0.2">
      <c r="A76" s="1"/>
      <c r="B76" s="22" t="str">
        <f>IF(OR(act_view_idx=1,act_view_idx=4),"   Depreciation &amp; amortisation","")</f>
        <v xml:space="preserve">   Depreciation &amp; amortisation</v>
      </c>
      <c r="C76" s="62">
        <f>IF(AND(OR(act_view_idx=1,act_view_idx=4),1&lt;=act_horizon_n),CHOOSE(act_scn_idx,AE213,BF213,CG213),"")</f>
        <v>0</v>
      </c>
      <c r="D76" s="62">
        <f>IF(AND(OR(act_view_idx=1,act_view_idx=4),2&lt;=act_horizon_n),CHOOSE(act_scn_idx,AF213,BG213,CH213),"")</f>
        <v>0</v>
      </c>
      <c r="E76" s="62">
        <f>IF(AND(OR(act_view_idx=1,act_view_idx=4),3&lt;=act_horizon_n),CHOOSE(act_scn_idx,AG213,BH213,CI213),"")</f>
        <v>0</v>
      </c>
      <c r="F76" s="62">
        <f>IF(AND(OR(act_view_idx=1,act_view_idx=4),4&lt;=act_horizon_n),CHOOSE(act_scn_idx,AH213,BI213,CJ213),"")</f>
        <v>0</v>
      </c>
      <c r="G76" s="62">
        <f>IF(AND(OR(act_view_idx=1,act_view_idx=4),5&lt;=act_horizon_n),CHOOSE(act_scn_idx,AI213,BJ213,CK213),"")</f>
        <v>0</v>
      </c>
      <c r="H76" s="62">
        <f>IF(AND(OR(act_view_idx=1,act_view_idx=4),6&lt;=act_horizon_n),CHOOSE(act_scn_idx,AJ213,BK213,CL213),"")</f>
        <v>0</v>
      </c>
      <c r="I76" s="62">
        <f>IF(AND(OR(act_view_idx=1,act_view_idx=4),7&lt;=act_horizon_n),CHOOSE(act_scn_idx,AK213,BL213,CM213),"")</f>
        <v>0</v>
      </c>
      <c r="J76" s="62">
        <f>IF(AND(OR(act_view_idx=1,act_view_idx=4),8&lt;=act_horizon_n),CHOOSE(act_scn_idx,AL213,BM213,CN213),"")</f>
        <v>0</v>
      </c>
      <c r="K76" s="62">
        <f>IF(AND(OR(act_view_idx=1,act_view_idx=4),9&lt;=act_horizon_n),CHOOSE(act_scn_idx,AM213,BN213,CO213),"")</f>
        <v>0</v>
      </c>
      <c r="L76" s="62">
        <f>IF(AND(OR(act_view_idx=1,act_view_idx=4),10&lt;=act_horizon_n),CHOOSE(act_scn_idx,AN213,BO213,CP213),"")</f>
        <v>0</v>
      </c>
      <c r="M76" s="62">
        <f>IF(AND(OR(act_view_idx=1,act_view_idx=4),11&lt;=act_horizon_n),CHOOSE(act_scn_idx,AO213,BP213,CQ213),"")</f>
        <v>0</v>
      </c>
      <c r="N76" s="62">
        <f>IF(AND(OR(act_view_idx=1,act_view_idx=4),12&lt;=act_horizon_n),CHOOSE(act_scn_idx,AP213,BQ213,CR213),"")</f>
        <v>0</v>
      </c>
      <c r="O76" s="62">
        <f>IF(AND(OR(act_view_idx=1,act_view_idx=4),13&lt;=act_horizon_n),CHOOSE(act_scn_idx,AQ213,BR213,CS213),"")</f>
        <v>0</v>
      </c>
      <c r="P76" s="62">
        <f>IF(AND(OR(act_view_idx=1,act_view_idx=4),14&lt;=act_horizon_n),CHOOSE(act_scn_idx,AR213,BS213,CT213),"")</f>
        <v>0</v>
      </c>
      <c r="Q76" s="62">
        <f>IF(AND(OR(act_view_idx=1,act_view_idx=4),15&lt;=act_horizon_n),CHOOSE(act_scn_idx,AS213,BT213,CU213),"")</f>
        <v>0</v>
      </c>
      <c r="R76" s="62">
        <f>IF(AND(OR(act_view_idx=1,act_view_idx=4),16&lt;=act_horizon_n),CHOOSE(act_scn_idx,AT213,BU213,CV213),"")</f>
        <v>0</v>
      </c>
      <c r="S76" s="62">
        <f>IF(AND(OR(act_view_idx=1,act_view_idx=4),17&lt;=act_horizon_n),CHOOSE(act_scn_idx,AU213,BV213,CW213),"")</f>
        <v>0</v>
      </c>
      <c r="T76" s="62">
        <f>IF(AND(OR(act_view_idx=1,act_view_idx=4),18&lt;=act_horizon_n),CHOOSE(act_scn_idx,AV213,BW213,CX213),"")</f>
        <v>0</v>
      </c>
      <c r="U76" s="62">
        <f>IF(AND(OR(act_view_idx=1,act_view_idx=4),19&lt;=act_horizon_n),CHOOSE(act_scn_idx,AW213,BX213,CY213),"")</f>
        <v>0</v>
      </c>
      <c r="V76" s="62">
        <f>IF(AND(OR(act_view_idx=1,act_view_idx=4),20&lt;=act_horizon_n),CHOOSE(act_scn_idx,AX213,BY213,CZ213),"")</f>
        <v>0</v>
      </c>
      <c r="W76" s="62">
        <f>IF(AND(OR(act_view_idx=1,act_view_idx=4),21&lt;=act_horizon_n),CHOOSE(act_scn_idx,AY213,BZ213,DA213),"")</f>
        <v>0</v>
      </c>
      <c r="X76" s="62">
        <f>IF(AND(OR(act_view_idx=1,act_view_idx=4),22&lt;=act_horizon_n),CHOOSE(act_scn_idx,AZ213,CA213,DB213),"")</f>
        <v>0</v>
      </c>
      <c r="Y76" s="62">
        <f>IF(AND(OR(act_view_idx=1,act_view_idx=4),23&lt;=act_horizon_n),CHOOSE(act_scn_idx,BA213,CB213,DC213),"")</f>
        <v>0</v>
      </c>
      <c r="Z76" s="62">
        <f>IF(AND(OR(act_view_idx=1,act_view_idx=4),24&lt;=act_horizon_n),CHOOSE(act_scn_idx,BB213,CC213,DD213),"")</f>
        <v>0</v>
      </c>
      <c r="AA76" s="1"/>
      <c r="AB76" s="63">
        <f>IF(OR(act_view_idx=1,act_view_idx=4),CHOOSE(act_scn_idx,BC213,CD213,DE213),"")</f>
        <v>0</v>
      </c>
      <c r="AC76" s="63">
        <f>IF(AND(OR(act_view_idx=1,act_view_idx=4),act_horizon_n&gt;=24),CHOOSE(act_scn_idx,BD213,CE213,DF213),"")</f>
        <v>0</v>
      </c>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c r="DH76"/>
    </row>
    <row r="77" spans="1:112" ht="20" customHeight="1" x14ac:dyDescent="0.2">
      <c r="A77" s="1"/>
      <c r="B77" s="22" t="str">
        <f>IF(OR(act_view_idx=1,act_view_idx=4),"   Interest expense (on opening debt)","")</f>
        <v xml:space="preserve">   Interest expense (on opening debt)</v>
      </c>
      <c r="C77" s="62">
        <f>IF(AND(OR(act_view_idx=1,act_view_idx=4),1&lt;=act_horizon_n),CHOOSE(act_scn_idx,AE216,BF216,CG216),"")</f>
        <v>0</v>
      </c>
      <c r="D77" s="62">
        <f>IF(AND(OR(act_view_idx=1,act_view_idx=4),2&lt;=act_horizon_n),CHOOSE(act_scn_idx,AF216,BG216,CH216),"")</f>
        <v>0</v>
      </c>
      <c r="E77" s="62">
        <f>IF(AND(OR(act_view_idx=1,act_view_idx=4),3&lt;=act_horizon_n),CHOOSE(act_scn_idx,AG216,BH216,CI216),"")</f>
        <v>0</v>
      </c>
      <c r="F77" s="62">
        <f>IF(AND(OR(act_view_idx=1,act_view_idx=4),4&lt;=act_horizon_n),CHOOSE(act_scn_idx,AH216,BI216,CJ216),"")</f>
        <v>0</v>
      </c>
      <c r="G77" s="62">
        <f>IF(AND(OR(act_view_idx=1,act_view_idx=4),5&lt;=act_horizon_n),CHOOSE(act_scn_idx,AI216,BJ216,CK216),"")</f>
        <v>0</v>
      </c>
      <c r="H77" s="62">
        <f>IF(AND(OR(act_view_idx=1,act_view_idx=4),6&lt;=act_horizon_n),CHOOSE(act_scn_idx,AJ216,BK216,CL216),"")</f>
        <v>0</v>
      </c>
      <c r="I77" s="62">
        <f>IF(AND(OR(act_view_idx=1,act_view_idx=4),7&lt;=act_horizon_n),CHOOSE(act_scn_idx,AK216,BL216,CM216),"")</f>
        <v>0</v>
      </c>
      <c r="J77" s="62">
        <f>IF(AND(OR(act_view_idx=1,act_view_idx=4),8&lt;=act_horizon_n),CHOOSE(act_scn_idx,AL216,BM216,CN216),"")</f>
        <v>0</v>
      </c>
      <c r="K77" s="62">
        <f>IF(AND(OR(act_view_idx=1,act_view_idx=4),9&lt;=act_horizon_n),CHOOSE(act_scn_idx,AM216,BN216,CO216),"")</f>
        <v>0</v>
      </c>
      <c r="L77" s="62">
        <f>IF(AND(OR(act_view_idx=1,act_view_idx=4),10&lt;=act_horizon_n),CHOOSE(act_scn_idx,AN216,BO216,CP216),"")</f>
        <v>0</v>
      </c>
      <c r="M77" s="62">
        <f>IF(AND(OR(act_view_idx=1,act_view_idx=4),11&lt;=act_horizon_n),CHOOSE(act_scn_idx,AO216,BP216,CQ216),"")</f>
        <v>0</v>
      </c>
      <c r="N77" s="62">
        <f>IF(AND(OR(act_view_idx=1,act_view_idx=4),12&lt;=act_horizon_n),CHOOSE(act_scn_idx,AP216,BQ216,CR216),"")</f>
        <v>0</v>
      </c>
      <c r="O77" s="62">
        <f>IF(AND(OR(act_view_idx=1,act_view_idx=4),13&lt;=act_horizon_n),CHOOSE(act_scn_idx,AQ216,BR216,CS216),"")</f>
        <v>0</v>
      </c>
      <c r="P77" s="62">
        <f>IF(AND(OR(act_view_idx=1,act_view_idx=4),14&lt;=act_horizon_n),CHOOSE(act_scn_idx,AR216,BS216,CT216),"")</f>
        <v>0</v>
      </c>
      <c r="Q77" s="62">
        <f>IF(AND(OR(act_view_idx=1,act_view_idx=4),15&lt;=act_horizon_n),CHOOSE(act_scn_idx,AS216,BT216,CU216),"")</f>
        <v>0</v>
      </c>
      <c r="R77" s="62">
        <f>IF(AND(OR(act_view_idx=1,act_view_idx=4),16&lt;=act_horizon_n),CHOOSE(act_scn_idx,AT216,BU216,CV216),"")</f>
        <v>0</v>
      </c>
      <c r="S77" s="62">
        <f>IF(AND(OR(act_view_idx=1,act_view_idx=4),17&lt;=act_horizon_n),CHOOSE(act_scn_idx,AU216,BV216,CW216),"")</f>
        <v>0</v>
      </c>
      <c r="T77" s="62">
        <f>IF(AND(OR(act_view_idx=1,act_view_idx=4),18&lt;=act_horizon_n),CHOOSE(act_scn_idx,AV216,BW216,CX216),"")</f>
        <v>0</v>
      </c>
      <c r="U77" s="62">
        <f>IF(AND(OR(act_view_idx=1,act_view_idx=4),19&lt;=act_horizon_n),CHOOSE(act_scn_idx,AW216,BX216,CY216),"")</f>
        <v>0</v>
      </c>
      <c r="V77" s="62">
        <f>IF(AND(OR(act_view_idx=1,act_view_idx=4),20&lt;=act_horizon_n),CHOOSE(act_scn_idx,AX216,BY216,CZ216),"")</f>
        <v>0</v>
      </c>
      <c r="W77" s="62">
        <f>IF(AND(OR(act_view_idx=1,act_view_idx=4),21&lt;=act_horizon_n),CHOOSE(act_scn_idx,AY216,BZ216,DA216),"")</f>
        <v>0</v>
      </c>
      <c r="X77" s="62">
        <f>IF(AND(OR(act_view_idx=1,act_view_idx=4),22&lt;=act_horizon_n),CHOOSE(act_scn_idx,AZ216,CA216,DB216),"")</f>
        <v>0</v>
      </c>
      <c r="Y77" s="62">
        <f>IF(AND(OR(act_view_idx=1,act_view_idx=4),23&lt;=act_horizon_n),CHOOSE(act_scn_idx,BA216,CB216,DC216),"")</f>
        <v>0</v>
      </c>
      <c r="Z77" s="62">
        <f>IF(AND(OR(act_view_idx=1,act_view_idx=4),24&lt;=act_horizon_n),CHOOSE(act_scn_idx,BB216,CC216,DD216),"")</f>
        <v>0</v>
      </c>
      <c r="AA77" s="1"/>
      <c r="AB77" s="63">
        <f>IF(OR(act_view_idx=1,act_view_idx=4),CHOOSE(act_scn_idx,BC216,CD216,DE216),"")</f>
        <v>0</v>
      </c>
      <c r="AC77" s="63">
        <f>IF(AND(OR(act_view_idx=1,act_view_idx=4),act_horizon_n&gt;=24),CHOOSE(act_scn_idx,BD216,CE216,DF216),"")</f>
        <v>0</v>
      </c>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c r="DH77"/>
    </row>
    <row r="78" spans="1:112" ht="20" customHeight="1" x14ac:dyDescent="0.2">
      <c r="A78" s="1"/>
      <c r="B78" s="22" t="str">
        <f>IF(OR(act_view_idx=1,act_view_idx=4),"   Income tax expense","")</f>
        <v xml:space="preserve">   Income tax expense</v>
      </c>
      <c r="C78" s="62">
        <f>IF(AND(OR(act_view_idx=1,act_view_idx=4),1&lt;=act_horizon_n),CHOOSE(act_scn_idx,AE218,BF218,CG218),"")</f>
        <v>0</v>
      </c>
      <c r="D78" s="62">
        <f>IF(AND(OR(act_view_idx=1,act_view_idx=4),2&lt;=act_horizon_n),CHOOSE(act_scn_idx,AF218,BG218,CH218),"")</f>
        <v>0</v>
      </c>
      <c r="E78" s="62">
        <f>IF(AND(OR(act_view_idx=1,act_view_idx=4),3&lt;=act_horizon_n),CHOOSE(act_scn_idx,AG218,BH218,CI218),"")</f>
        <v>0</v>
      </c>
      <c r="F78" s="62">
        <f>IF(AND(OR(act_view_idx=1,act_view_idx=4),4&lt;=act_horizon_n),CHOOSE(act_scn_idx,AH218,BI218,CJ218),"")</f>
        <v>0</v>
      </c>
      <c r="G78" s="62">
        <f>IF(AND(OR(act_view_idx=1,act_view_idx=4),5&lt;=act_horizon_n),CHOOSE(act_scn_idx,AI218,BJ218,CK218),"")</f>
        <v>0</v>
      </c>
      <c r="H78" s="62">
        <f>IF(AND(OR(act_view_idx=1,act_view_idx=4),6&lt;=act_horizon_n),CHOOSE(act_scn_idx,AJ218,BK218,CL218),"")</f>
        <v>0</v>
      </c>
      <c r="I78" s="62">
        <f>IF(AND(OR(act_view_idx=1,act_view_idx=4),7&lt;=act_horizon_n),CHOOSE(act_scn_idx,AK218,BL218,CM218),"")</f>
        <v>0</v>
      </c>
      <c r="J78" s="62">
        <f>IF(AND(OR(act_view_idx=1,act_view_idx=4),8&lt;=act_horizon_n),CHOOSE(act_scn_idx,AL218,BM218,CN218),"")</f>
        <v>0</v>
      </c>
      <c r="K78" s="62">
        <f>IF(AND(OR(act_view_idx=1,act_view_idx=4),9&lt;=act_horizon_n),CHOOSE(act_scn_idx,AM218,BN218,CO218),"")</f>
        <v>0</v>
      </c>
      <c r="L78" s="62">
        <f>IF(AND(OR(act_view_idx=1,act_view_idx=4),10&lt;=act_horizon_n),CHOOSE(act_scn_idx,AN218,BO218,CP218),"")</f>
        <v>0</v>
      </c>
      <c r="M78" s="62">
        <f>IF(AND(OR(act_view_idx=1,act_view_idx=4),11&lt;=act_horizon_n),CHOOSE(act_scn_idx,AO218,BP218,CQ218),"")</f>
        <v>0</v>
      </c>
      <c r="N78" s="62">
        <f>IF(AND(OR(act_view_idx=1,act_view_idx=4),12&lt;=act_horizon_n),CHOOSE(act_scn_idx,AP218,BQ218,CR218),"")</f>
        <v>0</v>
      </c>
      <c r="O78" s="62">
        <f>IF(AND(OR(act_view_idx=1,act_view_idx=4),13&lt;=act_horizon_n),CHOOSE(act_scn_idx,AQ218,BR218,CS218),"")</f>
        <v>0</v>
      </c>
      <c r="P78" s="62">
        <f>IF(AND(OR(act_view_idx=1,act_view_idx=4),14&lt;=act_horizon_n),CHOOSE(act_scn_idx,AR218,BS218,CT218),"")</f>
        <v>0</v>
      </c>
      <c r="Q78" s="62">
        <f>IF(AND(OR(act_view_idx=1,act_view_idx=4),15&lt;=act_horizon_n),CHOOSE(act_scn_idx,AS218,BT218,CU218),"")</f>
        <v>0</v>
      </c>
      <c r="R78" s="62">
        <f>IF(AND(OR(act_view_idx=1,act_view_idx=4),16&lt;=act_horizon_n),CHOOSE(act_scn_idx,AT218,BU218,CV218),"")</f>
        <v>0</v>
      </c>
      <c r="S78" s="62">
        <f>IF(AND(OR(act_view_idx=1,act_view_idx=4),17&lt;=act_horizon_n),CHOOSE(act_scn_idx,AU218,BV218,CW218),"")</f>
        <v>0</v>
      </c>
      <c r="T78" s="62">
        <f>IF(AND(OR(act_view_idx=1,act_view_idx=4),18&lt;=act_horizon_n),CHOOSE(act_scn_idx,AV218,BW218,CX218),"")</f>
        <v>0</v>
      </c>
      <c r="U78" s="62">
        <f>IF(AND(OR(act_view_idx=1,act_view_idx=4),19&lt;=act_horizon_n),CHOOSE(act_scn_idx,AW218,BX218,CY218),"")</f>
        <v>0</v>
      </c>
      <c r="V78" s="62">
        <f>IF(AND(OR(act_view_idx=1,act_view_idx=4),20&lt;=act_horizon_n),CHOOSE(act_scn_idx,AX218,BY218,CZ218),"")</f>
        <v>0</v>
      </c>
      <c r="W78" s="62">
        <f>IF(AND(OR(act_view_idx=1,act_view_idx=4),21&lt;=act_horizon_n),CHOOSE(act_scn_idx,AY218,BZ218,DA218),"")</f>
        <v>0</v>
      </c>
      <c r="X78" s="62">
        <f>IF(AND(OR(act_view_idx=1,act_view_idx=4),22&lt;=act_horizon_n),CHOOSE(act_scn_idx,AZ218,CA218,DB218),"")</f>
        <v>0</v>
      </c>
      <c r="Y78" s="62">
        <f>IF(AND(OR(act_view_idx=1,act_view_idx=4),23&lt;=act_horizon_n),CHOOSE(act_scn_idx,BA218,CB218,DC218),"")</f>
        <v>0</v>
      </c>
      <c r="Z78" s="62">
        <f>IF(AND(OR(act_view_idx=1,act_view_idx=4),24&lt;=act_horizon_n),CHOOSE(act_scn_idx,BB218,CC218,DD218),"")</f>
        <v>0</v>
      </c>
      <c r="AA78" s="1"/>
      <c r="AB78" s="63">
        <f>IF(OR(act_view_idx=1,act_view_idx=4),CHOOSE(act_scn_idx,BC218,CD218,DE218),"")</f>
        <v>0</v>
      </c>
      <c r="AC78" s="63">
        <f>IF(AND(OR(act_view_idx=1,act_view_idx=4),act_horizon_n&gt;=24),CHOOSE(act_scn_idx,BD218,CE218,DF218),"")</f>
        <v>0</v>
      </c>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c r="DH78"/>
    </row>
    <row r="79" spans="1:112" ht="20" customHeight="1" x14ac:dyDescent="0.2">
      <c r="A79" s="1"/>
      <c r="B79" s="66" t="str">
        <f>IF(OR(act_view_idx=1,act_view_idx=4),"NET PROFIT","")</f>
        <v>NET PROFIT</v>
      </c>
      <c r="C79" s="67">
        <f>IF(AND(OR(act_view_idx=1,act_view_idx=4),1&lt;=act_horizon_n),CHOOSE(act_scn_idx,AE219,BF219,CG219),"")</f>
        <v>0</v>
      </c>
      <c r="D79" s="67">
        <f>IF(AND(OR(act_view_idx=1,act_view_idx=4),2&lt;=act_horizon_n),CHOOSE(act_scn_idx,AF219,BG219,CH219),"")</f>
        <v>0</v>
      </c>
      <c r="E79" s="67">
        <f>IF(AND(OR(act_view_idx=1,act_view_idx=4),3&lt;=act_horizon_n),CHOOSE(act_scn_idx,AG219,BH219,CI219),"")</f>
        <v>0</v>
      </c>
      <c r="F79" s="67">
        <f>IF(AND(OR(act_view_idx=1,act_view_idx=4),4&lt;=act_horizon_n),CHOOSE(act_scn_idx,AH219,BI219,CJ219),"")</f>
        <v>0</v>
      </c>
      <c r="G79" s="67">
        <f>IF(AND(OR(act_view_idx=1,act_view_idx=4),5&lt;=act_horizon_n),CHOOSE(act_scn_idx,AI219,BJ219,CK219),"")</f>
        <v>0</v>
      </c>
      <c r="H79" s="67">
        <f>IF(AND(OR(act_view_idx=1,act_view_idx=4),6&lt;=act_horizon_n),CHOOSE(act_scn_idx,AJ219,BK219,CL219),"")</f>
        <v>0</v>
      </c>
      <c r="I79" s="67">
        <f>IF(AND(OR(act_view_idx=1,act_view_idx=4),7&lt;=act_horizon_n),CHOOSE(act_scn_idx,AK219,BL219,CM219),"")</f>
        <v>0</v>
      </c>
      <c r="J79" s="67">
        <f>IF(AND(OR(act_view_idx=1,act_view_idx=4),8&lt;=act_horizon_n),CHOOSE(act_scn_idx,AL219,BM219,CN219),"")</f>
        <v>0</v>
      </c>
      <c r="K79" s="67">
        <f>IF(AND(OR(act_view_idx=1,act_view_idx=4),9&lt;=act_horizon_n),CHOOSE(act_scn_idx,AM219,BN219,CO219),"")</f>
        <v>0</v>
      </c>
      <c r="L79" s="67">
        <f>IF(AND(OR(act_view_idx=1,act_view_idx=4),10&lt;=act_horizon_n),CHOOSE(act_scn_idx,AN219,BO219,CP219),"")</f>
        <v>0</v>
      </c>
      <c r="M79" s="67">
        <f>IF(AND(OR(act_view_idx=1,act_view_idx=4),11&lt;=act_horizon_n),CHOOSE(act_scn_idx,AO219,BP219,CQ219),"")</f>
        <v>0</v>
      </c>
      <c r="N79" s="67">
        <f>IF(AND(OR(act_view_idx=1,act_view_idx=4),12&lt;=act_horizon_n),CHOOSE(act_scn_idx,AP219,BQ219,CR219),"")</f>
        <v>0</v>
      </c>
      <c r="O79" s="67">
        <f>IF(AND(OR(act_view_idx=1,act_view_idx=4),13&lt;=act_horizon_n),CHOOSE(act_scn_idx,AQ219,BR219,CS219),"")</f>
        <v>0</v>
      </c>
      <c r="P79" s="67">
        <f>IF(AND(OR(act_view_idx=1,act_view_idx=4),14&lt;=act_horizon_n),CHOOSE(act_scn_idx,AR219,BS219,CT219),"")</f>
        <v>0</v>
      </c>
      <c r="Q79" s="67">
        <f>IF(AND(OR(act_view_idx=1,act_view_idx=4),15&lt;=act_horizon_n),CHOOSE(act_scn_idx,AS219,BT219,CU219),"")</f>
        <v>0</v>
      </c>
      <c r="R79" s="67">
        <f>IF(AND(OR(act_view_idx=1,act_view_idx=4),16&lt;=act_horizon_n),CHOOSE(act_scn_idx,AT219,BU219,CV219),"")</f>
        <v>0</v>
      </c>
      <c r="S79" s="67">
        <f>IF(AND(OR(act_view_idx=1,act_view_idx=4),17&lt;=act_horizon_n),CHOOSE(act_scn_idx,AU219,BV219,CW219),"")</f>
        <v>0</v>
      </c>
      <c r="T79" s="67">
        <f>IF(AND(OR(act_view_idx=1,act_view_idx=4),18&lt;=act_horizon_n),CHOOSE(act_scn_idx,AV219,BW219,CX219),"")</f>
        <v>0</v>
      </c>
      <c r="U79" s="67">
        <f>IF(AND(OR(act_view_idx=1,act_view_idx=4),19&lt;=act_horizon_n),CHOOSE(act_scn_idx,AW219,BX219,CY219),"")</f>
        <v>0</v>
      </c>
      <c r="V79" s="67">
        <f>IF(AND(OR(act_view_idx=1,act_view_idx=4),20&lt;=act_horizon_n),CHOOSE(act_scn_idx,AX219,BY219,CZ219),"")</f>
        <v>0</v>
      </c>
      <c r="W79" s="67">
        <f>IF(AND(OR(act_view_idx=1,act_view_idx=4),21&lt;=act_horizon_n),CHOOSE(act_scn_idx,AY219,BZ219,DA219),"")</f>
        <v>0</v>
      </c>
      <c r="X79" s="67">
        <f>IF(AND(OR(act_view_idx=1,act_view_idx=4),22&lt;=act_horizon_n),CHOOSE(act_scn_idx,AZ219,CA219,DB219),"")</f>
        <v>0</v>
      </c>
      <c r="Y79" s="67">
        <f>IF(AND(OR(act_view_idx=1,act_view_idx=4),23&lt;=act_horizon_n),CHOOSE(act_scn_idx,BA219,CB219,DC219),"")</f>
        <v>0</v>
      </c>
      <c r="Z79" s="67">
        <f>IF(AND(OR(act_view_idx=1,act_view_idx=4),24&lt;=act_horizon_n),CHOOSE(act_scn_idx,BB219,CC219,DD219),"")</f>
        <v>0</v>
      </c>
      <c r="AA79" s="1"/>
      <c r="AB79" s="67">
        <f>IF(OR(act_view_idx=1,act_view_idx=4),CHOOSE(act_scn_idx,BC219,CD219,DE219),"")</f>
        <v>0</v>
      </c>
      <c r="AC79" s="67">
        <f>IF(AND(OR(act_view_idx=1,act_view_idx=4),act_horizon_n&gt;=24),CHOOSE(act_scn_idx,BD219,CE219,DF219),"")</f>
        <v>0</v>
      </c>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c r="DH79"/>
    </row>
    <row r="80" spans="1:112" ht="20" customHeight="1" x14ac:dyDescent="0.2">
      <c r="A80" s="1"/>
      <c r="B80" s="23" t="str">
        <f>IF(OR(act_view_idx=1,act_view_idx=4),"   Net margin %","")</f>
        <v xml:space="preserve">   Net margin %</v>
      </c>
      <c r="C80" s="68">
        <f>IF(AND(OR(act_view_idx=1,act_view_idx=4),1&lt;=act_horizon_n),CHOOSE(act_scn_idx,AE220,BF220,CG220),"")</f>
        <v>0</v>
      </c>
      <c r="D80" s="68">
        <f>IF(AND(OR(act_view_idx=1,act_view_idx=4),2&lt;=act_horizon_n),CHOOSE(act_scn_idx,AF220,BG220,CH220),"")</f>
        <v>0</v>
      </c>
      <c r="E80" s="68">
        <f>IF(AND(OR(act_view_idx=1,act_view_idx=4),3&lt;=act_horizon_n),CHOOSE(act_scn_idx,AG220,BH220,CI220),"")</f>
        <v>0</v>
      </c>
      <c r="F80" s="68">
        <f>IF(AND(OR(act_view_idx=1,act_view_idx=4),4&lt;=act_horizon_n),CHOOSE(act_scn_idx,AH220,BI220,CJ220),"")</f>
        <v>0</v>
      </c>
      <c r="G80" s="68">
        <f>IF(AND(OR(act_view_idx=1,act_view_idx=4),5&lt;=act_horizon_n),CHOOSE(act_scn_idx,AI220,BJ220,CK220),"")</f>
        <v>0</v>
      </c>
      <c r="H80" s="68">
        <f>IF(AND(OR(act_view_idx=1,act_view_idx=4),6&lt;=act_horizon_n),CHOOSE(act_scn_idx,AJ220,BK220,CL220),"")</f>
        <v>0</v>
      </c>
      <c r="I80" s="68">
        <f>IF(AND(OR(act_view_idx=1,act_view_idx=4),7&lt;=act_horizon_n),CHOOSE(act_scn_idx,AK220,BL220,CM220),"")</f>
        <v>0</v>
      </c>
      <c r="J80" s="68">
        <f>IF(AND(OR(act_view_idx=1,act_view_idx=4),8&lt;=act_horizon_n),CHOOSE(act_scn_idx,AL220,BM220,CN220),"")</f>
        <v>0</v>
      </c>
      <c r="K80" s="68">
        <f>IF(AND(OR(act_view_idx=1,act_view_idx=4),9&lt;=act_horizon_n),CHOOSE(act_scn_idx,AM220,BN220,CO220),"")</f>
        <v>0</v>
      </c>
      <c r="L80" s="68">
        <f>IF(AND(OR(act_view_idx=1,act_view_idx=4),10&lt;=act_horizon_n),CHOOSE(act_scn_idx,AN220,BO220,CP220),"")</f>
        <v>0</v>
      </c>
      <c r="M80" s="68">
        <f>IF(AND(OR(act_view_idx=1,act_view_idx=4),11&lt;=act_horizon_n),CHOOSE(act_scn_idx,AO220,BP220,CQ220),"")</f>
        <v>0</v>
      </c>
      <c r="N80" s="68">
        <f>IF(AND(OR(act_view_idx=1,act_view_idx=4),12&lt;=act_horizon_n),CHOOSE(act_scn_idx,AP220,BQ220,CR220),"")</f>
        <v>0</v>
      </c>
      <c r="O80" s="68">
        <f>IF(AND(OR(act_view_idx=1,act_view_idx=4),13&lt;=act_horizon_n),CHOOSE(act_scn_idx,AQ220,BR220,CS220),"")</f>
        <v>0</v>
      </c>
      <c r="P80" s="68">
        <f>IF(AND(OR(act_view_idx=1,act_view_idx=4),14&lt;=act_horizon_n),CHOOSE(act_scn_idx,AR220,BS220,CT220),"")</f>
        <v>0</v>
      </c>
      <c r="Q80" s="68">
        <f>IF(AND(OR(act_view_idx=1,act_view_idx=4),15&lt;=act_horizon_n),CHOOSE(act_scn_idx,AS220,BT220,CU220),"")</f>
        <v>0</v>
      </c>
      <c r="R80" s="68">
        <f>IF(AND(OR(act_view_idx=1,act_view_idx=4),16&lt;=act_horizon_n),CHOOSE(act_scn_idx,AT220,BU220,CV220),"")</f>
        <v>0</v>
      </c>
      <c r="S80" s="68">
        <f>IF(AND(OR(act_view_idx=1,act_view_idx=4),17&lt;=act_horizon_n),CHOOSE(act_scn_idx,AU220,BV220,CW220),"")</f>
        <v>0</v>
      </c>
      <c r="T80" s="68">
        <f>IF(AND(OR(act_view_idx=1,act_view_idx=4),18&lt;=act_horizon_n),CHOOSE(act_scn_idx,AV220,BW220,CX220),"")</f>
        <v>0</v>
      </c>
      <c r="U80" s="68">
        <f>IF(AND(OR(act_view_idx=1,act_view_idx=4),19&lt;=act_horizon_n),CHOOSE(act_scn_idx,AW220,BX220,CY220),"")</f>
        <v>0</v>
      </c>
      <c r="V80" s="68">
        <f>IF(AND(OR(act_view_idx=1,act_view_idx=4),20&lt;=act_horizon_n),CHOOSE(act_scn_idx,AX220,BY220,CZ220),"")</f>
        <v>0</v>
      </c>
      <c r="W80" s="68">
        <f>IF(AND(OR(act_view_idx=1,act_view_idx=4),21&lt;=act_horizon_n),CHOOSE(act_scn_idx,AY220,BZ220,DA220),"")</f>
        <v>0</v>
      </c>
      <c r="X80" s="68">
        <f>IF(AND(OR(act_view_idx=1,act_view_idx=4),22&lt;=act_horizon_n),CHOOSE(act_scn_idx,AZ220,CA220,DB220),"")</f>
        <v>0</v>
      </c>
      <c r="Y80" s="68">
        <f>IF(AND(OR(act_view_idx=1,act_view_idx=4),23&lt;=act_horizon_n),CHOOSE(act_scn_idx,BA220,CB220,DC220),"")</f>
        <v>0</v>
      </c>
      <c r="Z80" s="68">
        <f>IF(AND(OR(act_view_idx=1,act_view_idx=4),24&lt;=act_horizon_n),CHOOSE(act_scn_idx,BB220,CC220,DD220),"")</f>
        <v>0</v>
      </c>
      <c r="AA80" s="1"/>
      <c r="AB80" s="68">
        <f>IF(OR(act_view_idx=1,act_view_idx=4),CHOOSE(act_scn_idx,BC220,CD220,DE220),"")</f>
        <v>0</v>
      </c>
      <c r="AC80" s="68">
        <f>IF(AND(OR(act_view_idx=1,act_view_idx=4),act_horizon_n&gt;=24),CHOOSE(act_scn_idx,BD220,CE220,DF220),"")</f>
        <v>0</v>
      </c>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c r="DH80"/>
    </row>
    <row r="81" spans="1:112" ht="20" customHeight="1" x14ac:dyDescent="0.2">
      <c r="A81" s="1"/>
      <c r="B81" s="60" t="str">
        <f>IF(OR(act_view_idx=2,act_view_idx=4),"■ CASH FLOW STATEMENT (indirect method)","")</f>
        <v>■ CASH FLOW STATEMENT (indirect method)</v>
      </c>
      <c r="C81" s="20"/>
      <c r="D81" s="20"/>
      <c r="E81" s="20"/>
      <c r="F81" s="20"/>
      <c r="G81" s="20"/>
      <c r="H81" s="20"/>
      <c r="I81" s="20"/>
      <c r="J81" s="20"/>
      <c r="K81" s="20"/>
      <c r="L81" s="20"/>
      <c r="M81" s="20"/>
      <c r="N81" s="20"/>
      <c r="O81" s="20"/>
      <c r="P81" s="20"/>
      <c r="Q81" s="20"/>
      <c r="R81" s="20"/>
      <c r="S81" s="20"/>
      <c r="T81" s="20"/>
      <c r="U81" s="20"/>
      <c r="V81" s="20"/>
      <c r="W81" s="20"/>
      <c r="X81" s="20"/>
      <c r="Y81" s="20"/>
      <c r="Z81" s="20"/>
      <c r="AA81" s="20"/>
      <c r="AB81" s="20"/>
      <c r="AC81" s="20"/>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c r="DH81"/>
    </row>
    <row r="82" spans="1:112" ht="20" customHeight="1" x14ac:dyDescent="0.2">
      <c r="A82" s="1"/>
      <c r="B82" s="61" t="str">
        <f>IF(OR(act_view_idx=2,act_view_idx=4),"OPERATING CASH FLOW","")</f>
        <v>OPERATING CASH FLOW</v>
      </c>
      <c r="C82" s="2"/>
      <c r="D82" s="2"/>
      <c r="E82" s="2"/>
      <c r="F82" s="2"/>
      <c r="G82" s="2"/>
      <c r="H82" s="2"/>
      <c r="I82" s="2"/>
      <c r="J82" s="2"/>
      <c r="K82" s="2"/>
      <c r="L82" s="2"/>
      <c r="M82" s="2"/>
      <c r="N82" s="2"/>
      <c r="O82" s="2"/>
      <c r="P82" s="2"/>
      <c r="Q82" s="2"/>
      <c r="R82" s="2"/>
      <c r="S82" s="2"/>
      <c r="T82" s="2"/>
      <c r="U82" s="2"/>
      <c r="V82" s="2"/>
      <c r="W82" s="2"/>
      <c r="X82" s="2"/>
      <c r="Y82" s="2"/>
      <c r="Z82" s="2"/>
      <c r="AA82" s="1"/>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c r="DH82"/>
    </row>
    <row r="83" spans="1:112" ht="20" customHeight="1" x14ac:dyDescent="0.2">
      <c r="A83" s="1"/>
      <c r="B83" s="22" t="str">
        <f>IF(OR(act_view_idx=2,act_view_idx=4),"   Net profit","")</f>
        <v xml:space="preserve">   Net profit</v>
      </c>
      <c r="C83" s="62">
        <f>IF(AND(OR(act_view_idx=2,act_view_idx=4),1&lt;=act_horizon_n),CHOOSE(act_scn_idx,AE219,BF219,CG219),"")</f>
        <v>0</v>
      </c>
      <c r="D83" s="62">
        <f>IF(AND(OR(act_view_idx=2,act_view_idx=4),2&lt;=act_horizon_n),CHOOSE(act_scn_idx,AF219,BG219,CH219),"")</f>
        <v>0</v>
      </c>
      <c r="E83" s="62">
        <f>IF(AND(OR(act_view_idx=2,act_view_idx=4),3&lt;=act_horizon_n),CHOOSE(act_scn_idx,AG219,BH219,CI219),"")</f>
        <v>0</v>
      </c>
      <c r="F83" s="62">
        <f>IF(AND(OR(act_view_idx=2,act_view_idx=4),4&lt;=act_horizon_n),CHOOSE(act_scn_idx,AH219,BI219,CJ219),"")</f>
        <v>0</v>
      </c>
      <c r="G83" s="62">
        <f>IF(AND(OR(act_view_idx=2,act_view_idx=4),5&lt;=act_horizon_n),CHOOSE(act_scn_idx,AI219,BJ219,CK219),"")</f>
        <v>0</v>
      </c>
      <c r="H83" s="62">
        <f>IF(AND(OR(act_view_idx=2,act_view_idx=4),6&lt;=act_horizon_n),CHOOSE(act_scn_idx,AJ219,BK219,CL219),"")</f>
        <v>0</v>
      </c>
      <c r="I83" s="62">
        <f>IF(AND(OR(act_view_idx=2,act_view_idx=4),7&lt;=act_horizon_n),CHOOSE(act_scn_idx,AK219,BL219,CM219),"")</f>
        <v>0</v>
      </c>
      <c r="J83" s="62">
        <f>IF(AND(OR(act_view_idx=2,act_view_idx=4),8&lt;=act_horizon_n),CHOOSE(act_scn_idx,AL219,BM219,CN219),"")</f>
        <v>0</v>
      </c>
      <c r="K83" s="62">
        <f>IF(AND(OR(act_view_idx=2,act_view_idx=4),9&lt;=act_horizon_n),CHOOSE(act_scn_idx,AM219,BN219,CO219),"")</f>
        <v>0</v>
      </c>
      <c r="L83" s="62">
        <f>IF(AND(OR(act_view_idx=2,act_view_idx=4),10&lt;=act_horizon_n),CHOOSE(act_scn_idx,AN219,BO219,CP219),"")</f>
        <v>0</v>
      </c>
      <c r="M83" s="62">
        <f>IF(AND(OR(act_view_idx=2,act_view_idx=4),11&lt;=act_horizon_n),CHOOSE(act_scn_idx,AO219,BP219,CQ219),"")</f>
        <v>0</v>
      </c>
      <c r="N83" s="62">
        <f>IF(AND(OR(act_view_idx=2,act_view_idx=4),12&lt;=act_horizon_n),CHOOSE(act_scn_idx,AP219,BQ219,CR219),"")</f>
        <v>0</v>
      </c>
      <c r="O83" s="62">
        <f>IF(AND(OR(act_view_idx=2,act_view_idx=4),13&lt;=act_horizon_n),CHOOSE(act_scn_idx,AQ219,BR219,CS219),"")</f>
        <v>0</v>
      </c>
      <c r="P83" s="62">
        <f>IF(AND(OR(act_view_idx=2,act_view_idx=4),14&lt;=act_horizon_n),CHOOSE(act_scn_idx,AR219,BS219,CT219),"")</f>
        <v>0</v>
      </c>
      <c r="Q83" s="62">
        <f>IF(AND(OR(act_view_idx=2,act_view_idx=4),15&lt;=act_horizon_n),CHOOSE(act_scn_idx,AS219,BT219,CU219),"")</f>
        <v>0</v>
      </c>
      <c r="R83" s="62">
        <f>IF(AND(OR(act_view_idx=2,act_view_idx=4),16&lt;=act_horizon_n),CHOOSE(act_scn_idx,AT219,BU219,CV219),"")</f>
        <v>0</v>
      </c>
      <c r="S83" s="62">
        <f>IF(AND(OR(act_view_idx=2,act_view_idx=4),17&lt;=act_horizon_n),CHOOSE(act_scn_idx,AU219,BV219,CW219),"")</f>
        <v>0</v>
      </c>
      <c r="T83" s="62">
        <f>IF(AND(OR(act_view_idx=2,act_view_idx=4),18&lt;=act_horizon_n),CHOOSE(act_scn_idx,AV219,BW219,CX219),"")</f>
        <v>0</v>
      </c>
      <c r="U83" s="62">
        <f>IF(AND(OR(act_view_idx=2,act_view_idx=4),19&lt;=act_horizon_n),CHOOSE(act_scn_idx,AW219,BX219,CY219),"")</f>
        <v>0</v>
      </c>
      <c r="V83" s="62">
        <f>IF(AND(OR(act_view_idx=2,act_view_idx=4),20&lt;=act_horizon_n),CHOOSE(act_scn_idx,AX219,BY219,CZ219),"")</f>
        <v>0</v>
      </c>
      <c r="W83" s="62">
        <f>IF(AND(OR(act_view_idx=2,act_view_idx=4),21&lt;=act_horizon_n),CHOOSE(act_scn_idx,AY219,BZ219,DA219),"")</f>
        <v>0</v>
      </c>
      <c r="X83" s="62">
        <f>IF(AND(OR(act_view_idx=2,act_view_idx=4),22&lt;=act_horizon_n),CHOOSE(act_scn_idx,AZ219,CA219,DB219),"")</f>
        <v>0</v>
      </c>
      <c r="Y83" s="62">
        <f>IF(AND(OR(act_view_idx=2,act_view_idx=4),23&lt;=act_horizon_n),CHOOSE(act_scn_idx,BA219,CB219,DC219),"")</f>
        <v>0</v>
      </c>
      <c r="Z83" s="62">
        <f>IF(AND(OR(act_view_idx=2,act_view_idx=4),24&lt;=act_horizon_n),CHOOSE(act_scn_idx,BB219,CC219,DD219),"")</f>
        <v>0</v>
      </c>
      <c r="AA83" s="1"/>
      <c r="AB83" s="63">
        <f>IF(OR(act_view_idx=2,act_view_idx=4),CHOOSE(act_scn_idx,BC219,CD219,DE219),"")</f>
        <v>0</v>
      </c>
      <c r="AC83" s="63">
        <f>IF(AND(OR(act_view_idx=2,act_view_idx=4),act_horizon_n&gt;=24),CHOOSE(act_scn_idx,BD219,CE219,DF219),"")</f>
        <v>0</v>
      </c>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c r="DH83"/>
    </row>
    <row r="84" spans="1:112" ht="20" customHeight="1" x14ac:dyDescent="0.2">
      <c r="A84" s="1"/>
      <c r="B84" s="22" t="str">
        <f>IF(OR(act_view_idx=2,act_view_idx=4),"   + Depreciation &amp; amortisation","")</f>
        <v xml:space="preserve">   + Depreciation &amp; amortisation</v>
      </c>
      <c r="C84" s="62">
        <f>IF(AND(OR(act_view_idx=2,act_view_idx=4),1&lt;=act_horizon_n),CHOOSE(act_scn_idx,AE213,BF213,CG213),"")</f>
        <v>0</v>
      </c>
      <c r="D84" s="62">
        <f>IF(AND(OR(act_view_idx=2,act_view_idx=4),2&lt;=act_horizon_n),CHOOSE(act_scn_idx,AF213,BG213,CH213),"")</f>
        <v>0</v>
      </c>
      <c r="E84" s="62">
        <f>IF(AND(OR(act_view_idx=2,act_view_idx=4),3&lt;=act_horizon_n),CHOOSE(act_scn_idx,AG213,BH213,CI213),"")</f>
        <v>0</v>
      </c>
      <c r="F84" s="62">
        <f>IF(AND(OR(act_view_idx=2,act_view_idx=4),4&lt;=act_horizon_n),CHOOSE(act_scn_idx,AH213,BI213,CJ213),"")</f>
        <v>0</v>
      </c>
      <c r="G84" s="62">
        <f>IF(AND(OR(act_view_idx=2,act_view_idx=4),5&lt;=act_horizon_n),CHOOSE(act_scn_idx,AI213,BJ213,CK213),"")</f>
        <v>0</v>
      </c>
      <c r="H84" s="62">
        <f>IF(AND(OR(act_view_idx=2,act_view_idx=4),6&lt;=act_horizon_n),CHOOSE(act_scn_idx,AJ213,BK213,CL213),"")</f>
        <v>0</v>
      </c>
      <c r="I84" s="62">
        <f>IF(AND(OR(act_view_idx=2,act_view_idx=4),7&lt;=act_horizon_n),CHOOSE(act_scn_idx,AK213,BL213,CM213),"")</f>
        <v>0</v>
      </c>
      <c r="J84" s="62">
        <f>IF(AND(OR(act_view_idx=2,act_view_idx=4),8&lt;=act_horizon_n),CHOOSE(act_scn_idx,AL213,BM213,CN213),"")</f>
        <v>0</v>
      </c>
      <c r="K84" s="62">
        <f>IF(AND(OR(act_view_idx=2,act_view_idx=4),9&lt;=act_horizon_n),CHOOSE(act_scn_idx,AM213,BN213,CO213),"")</f>
        <v>0</v>
      </c>
      <c r="L84" s="62">
        <f>IF(AND(OR(act_view_idx=2,act_view_idx=4),10&lt;=act_horizon_n),CHOOSE(act_scn_idx,AN213,BO213,CP213),"")</f>
        <v>0</v>
      </c>
      <c r="M84" s="62">
        <f>IF(AND(OR(act_view_idx=2,act_view_idx=4),11&lt;=act_horizon_n),CHOOSE(act_scn_idx,AO213,BP213,CQ213),"")</f>
        <v>0</v>
      </c>
      <c r="N84" s="62">
        <f>IF(AND(OR(act_view_idx=2,act_view_idx=4),12&lt;=act_horizon_n),CHOOSE(act_scn_idx,AP213,BQ213,CR213),"")</f>
        <v>0</v>
      </c>
      <c r="O84" s="62">
        <f>IF(AND(OR(act_view_idx=2,act_view_idx=4),13&lt;=act_horizon_n),CHOOSE(act_scn_idx,AQ213,BR213,CS213),"")</f>
        <v>0</v>
      </c>
      <c r="P84" s="62">
        <f>IF(AND(OR(act_view_idx=2,act_view_idx=4),14&lt;=act_horizon_n),CHOOSE(act_scn_idx,AR213,BS213,CT213),"")</f>
        <v>0</v>
      </c>
      <c r="Q84" s="62">
        <f>IF(AND(OR(act_view_idx=2,act_view_idx=4),15&lt;=act_horizon_n),CHOOSE(act_scn_idx,AS213,BT213,CU213),"")</f>
        <v>0</v>
      </c>
      <c r="R84" s="62">
        <f>IF(AND(OR(act_view_idx=2,act_view_idx=4),16&lt;=act_horizon_n),CHOOSE(act_scn_idx,AT213,BU213,CV213),"")</f>
        <v>0</v>
      </c>
      <c r="S84" s="62">
        <f>IF(AND(OR(act_view_idx=2,act_view_idx=4),17&lt;=act_horizon_n),CHOOSE(act_scn_idx,AU213,BV213,CW213),"")</f>
        <v>0</v>
      </c>
      <c r="T84" s="62">
        <f>IF(AND(OR(act_view_idx=2,act_view_idx=4),18&lt;=act_horizon_n),CHOOSE(act_scn_idx,AV213,BW213,CX213),"")</f>
        <v>0</v>
      </c>
      <c r="U84" s="62">
        <f>IF(AND(OR(act_view_idx=2,act_view_idx=4),19&lt;=act_horizon_n),CHOOSE(act_scn_idx,AW213,BX213,CY213),"")</f>
        <v>0</v>
      </c>
      <c r="V84" s="62">
        <f>IF(AND(OR(act_view_idx=2,act_view_idx=4),20&lt;=act_horizon_n),CHOOSE(act_scn_idx,AX213,BY213,CZ213),"")</f>
        <v>0</v>
      </c>
      <c r="W84" s="62">
        <f>IF(AND(OR(act_view_idx=2,act_view_idx=4),21&lt;=act_horizon_n),CHOOSE(act_scn_idx,AY213,BZ213,DA213),"")</f>
        <v>0</v>
      </c>
      <c r="X84" s="62">
        <f>IF(AND(OR(act_view_idx=2,act_view_idx=4),22&lt;=act_horizon_n),CHOOSE(act_scn_idx,AZ213,CA213,DB213),"")</f>
        <v>0</v>
      </c>
      <c r="Y84" s="62">
        <f>IF(AND(OR(act_view_idx=2,act_view_idx=4),23&lt;=act_horizon_n),CHOOSE(act_scn_idx,BA213,CB213,DC213),"")</f>
        <v>0</v>
      </c>
      <c r="Z84" s="62">
        <f>IF(AND(OR(act_view_idx=2,act_view_idx=4),24&lt;=act_horizon_n),CHOOSE(act_scn_idx,BB213,CC213,DD213),"")</f>
        <v>0</v>
      </c>
      <c r="AA84" s="1"/>
      <c r="AB84" s="63">
        <f>IF(OR(act_view_idx=2,act_view_idx=4),CHOOSE(act_scn_idx,BC213,CD213,DE213),"")</f>
        <v>0</v>
      </c>
      <c r="AC84" s="63">
        <f>IF(AND(OR(act_view_idx=2,act_view_idx=4),act_horizon_n&gt;=24),CHOOSE(act_scn_idx,BD213,CE213,DF213),"")</f>
        <v>0</v>
      </c>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c r="DH84"/>
    </row>
    <row r="85" spans="1:112" ht="20" customHeight="1" x14ac:dyDescent="0.2">
      <c r="A85" s="1"/>
      <c r="B85" s="22" t="str">
        <f>IF(OR(act_view_idx=2,act_view_idx=4),"   − Increase in accounts receivable","")</f>
        <v xml:space="preserve">   − Increase in accounts receivable</v>
      </c>
      <c r="C85" s="62">
        <f>IF(AND(OR(act_view_idx=2,act_view_idx=4),1&lt;=act_horizon_n),CHOOSE(act_scn_idx,(-AE223),(-BF223),(-CG223)),"")</f>
        <v>0</v>
      </c>
      <c r="D85" s="62">
        <f>IF(AND(OR(act_view_idx=2,act_view_idx=4),2&lt;=act_horizon_n),CHOOSE(act_scn_idx,(-AF223),(-BG223),(-CH223)),"")</f>
        <v>0</v>
      </c>
      <c r="E85" s="62">
        <f>IF(AND(OR(act_view_idx=2,act_view_idx=4),3&lt;=act_horizon_n),CHOOSE(act_scn_idx,(-AG223),(-BH223),(-CI223)),"")</f>
        <v>0</v>
      </c>
      <c r="F85" s="62">
        <f>IF(AND(OR(act_view_idx=2,act_view_idx=4),4&lt;=act_horizon_n),CHOOSE(act_scn_idx,(-AH223),(-BI223),(-CJ223)),"")</f>
        <v>0</v>
      </c>
      <c r="G85" s="62">
        <f>IF(AND(OR(act_view_idx=2,act_view_idx=4),5&lt;=act_horizon_n),CHOOSE(act_scn_idx,(-AI223),(-BJ223),(-CK223)),"")</f>
        <v>0</v>
      </c>
      <c r="H85" s="62">
        <f>IF(AND(OR(act_view_idx=2,act_view_idx=4),6&lt;=act_horizon_n),CHOOSE(act_scn_idx,(-AJ223),(-BK223),(-CL223)),"")</f>
        <v>0</v>
      </c>
      <c r="I85" s="62">
        <f>IF(AND(OR(act_view_idx=2,act_view_idx=4),7&lt;=act_horizon_n),CHOOSE(act_scn_idx,(-AK223),(-BL223),(-CM223)),"")</f>
        <v>0</v>
      </c>
      <c r="J85" s="62">
        <f>IF(AND(OR(act_view_idx=2,act_view_idx=4),8&lt;=act_horizon_n),CHOOSE(act_scn_idx,(-AL223),(-BM223),(-CN223)),"")</f>
        <v>0</v>
      </c>
      <c r="K85" s="62">
        <f>IF(AND(OR(act_view_idx=2,act_view_idx=4),9&lt;=act_horizon_n),CHOOSE(act_scn_idx,(-AM223),(-BN223),(-CO223)),"")</f>
        <v>0</v>
      </c>
      <c r="L85" s="62">
        <f>IF(AND(OR(act_view_idx=2,act_view_idx=4),10&lt;=act_horizon_n),CHOOSE(act_scn_idx,(-AN223),(-BO223),(-CP223)),"")</f>
        <v>0</v>
      </c>
      <c r="M85" s="62">
        <f>IF(AND(OR(act_view_idx=2,act_view_idx=4),11&lt;=act_horizon_n),CHOOSE(act_scn_idx,(-AO223),(-BP223),(-CQ223)),"")</f>
        <v>0</v>
      </c>
      <c r="N85" s="62">
        <f>IF(AND(OR(act_view_idx=2,act_view_idx=4),12&lt;=act_horizon_n),CHOOSE(act_scn_idx,(-AP223),(-BQ223),(-CR223)),"")</f>
        <v>0</v>
      </c>
      <c r="O85" s="62">
        <f>IF(AND(OR(act_view_idx=2,act_view_idx=4),13&lt;=act_horizon_n),CHOOSE(act_scn_idx,(-AQ223),(-BR223),(-CS223)),"")</f>
        <v>0</v>
      </c>
      <c r="P85" s="62">
        <f>IF(AND(OR(act_view_idx=2,act_view_idx=4),14&lt;=act_horizon_n),CHOOSE(act_scn_idx,(-AR223),(-BS223),(-CT223)),"")</f>
        <v>0</v>
      </c>
      <c r="Q85" s="62">
        <f>IF(AND(OR(act_view_idx=2,act_view_idx=4),15&lt;=act_horizon_n),CHOOSE(act_scn_idx,(-AS223),(-BT223),(-CU223)),"")</f>
        <v>0</v>
      </c>
      <c r="R85" s="62">
        <f>IF(AND(OR(act_view_idx=2,act_view_idx=4),16&lt;=act_horizon_n),CHOOSE(act_scn_idx,(-AT223),(-BU223),(-CV223)),"")</f>
        <v>0</v>
      </c>
      <c r="S85" s="62">
        <f>IF(AND(OR(act_view_idx=2,act_view_idx=4),17&lt;=act_horizon_n),CHOOSE(act_scn_idx,(-AU223),(-BV223),(-CW223)),"")</f>
        <v>0</v>
      </c>
      <c r="T85" s="62">
        <f>IF(AND(OR(act_view_idx=2,act_view_idx=4),18&lt;=act_horizon_n),CHOOSE(act_scn_idx,(-AV223),(-BW223),(-CX223)),"")</f>
        <v>0</v>
      </c>
      <c r="U85" s="62">
        <f>IF(AND(OR(act_view_idx=2,act_view_idx=4),19&lt;=act_horizon_n),CHOOSE(act_scn_idx,(-AW223),(-BX223),(-CY223)),"")</f>
        <v>0</v>
      </c>
      <c r="V85" s="62">
        <f>IF(AND(OR(act_view_idx=2,act_view_idx=4),20&lt;=act_horizon_n),CHOOSE(act_scn_idx,(-AX223),(-BY223),(-CZ223)),"")</f>
        <v>0</v>
      </c>
      <c r="W85" s="62">
        <f>IF(AND(OR(act_view_idx=2,act_view_idx=4),21&lt;=act_horizon_n),CHOOSE(act_scn_idx,(-AY223),(-BZ223),(-DA223)),"")</f>
        <v>0</v>
      </c>
      <c r="X85" s="62">
        <f>IF(AND(OR(act_view_idx=2,act_view_idx=4),22&lt;=act_horizon_n),CHOOSE(act_scn_idx,(-AZ223),(-CA223),(-DB223)),"")</f>
        <v>0</v>
      </c>
      <c r="Y85" s="62">
        <f>IF(AND(OR(act_view_idx=2,act_view_idx=4),23&lt;=act_horizon_n),CHOOSE(act_scn_idx,(-BA223),(-CB223),(-DC223)),"")</f>
        <v>0</v>
      </c>
      <c r="Z85" s="62">
        <f>IF(AND(OR(act_view_idx=2,act_view_idx=4),24&lt;=act_horizon_n),CHOOSE(act_scn_idx,(-BB223),(-CC223),(-DD223)),"")</f>
        <v>0</v>
      </c>
      <c r="AA85" s="1"/>
      <c r="AB85" s="63">
        <f>IF(OR(act_view_idx=2,act_view_idx=4),CHOOSE(act_scn_idx,(-BC223),(-CD223),(-DE223)),"")</f>
        <v>0</v>
      </c>
      <c r="AC85" s="63">
        <f>IF(AND(OR(act_view_idx=2,act_view_idx=4),act_horizon_n&gt;=24),CHOOSE(act_scn_idx,(-BD223),(-CE223),(-DF223)),"")</f>
        <v>0</v>
      </c>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c r="DH85"/>
    </row>
    <row r="86" spans="1:112" ht="20" customHeight="1" x14ac:dyDescent="0.2">
      <c r="A86" s="1"/>
      <c r="B86" s="22" t="str">
        <f>IF(OR(act_view_idx=2,act_view_idx=4),"   + Increase in accounts payable","")</f>
        <v xml:space="preserve">   + Increase in accounts payable</v>
      </c>
      <c r="C86" s="62">
        <f>IF(AND(OR(act_view_idx=2,act_view_idx=4),1&lt;=act_horizon_n),CHOOSE(act_scn_idx,AE226,BF226,CG226),"")</f>
        <v>0</v>
      </c>
      <c r="D86" s="62">
        <f>IF(AND(OR(act_view_idx=2,act_view_idx=4),2&lt;=act_horizon_n),CHOOSE(act_scn_idx,AF226,BG226,CH226),"")</f>
        <v>0</v>
      </c>
      <c r="E86" s="62">
        <f>IF(AND(OR(act_view_idx=2,act_view_idx=4),3&lt;=act_horizon_n),CHOOSE(act_scn_idx,AG226,BH226,CI226),"")</f>
        <v>0</v>
      </c>
      <c r="F86" s="62">
        <f>IF(AND(OR(act_view_idx=2,act_view_idx=4),4&lt;=act_horizon_n),CHOOSE(act_scn_idx,AH226,BI226,CJ226),"")</f>
        <v>0</v>
      </c>
      <c r="G86" s="62">
        <f>IF(AND(OR(act_view_idx=2,act_view_idx=4),5&lt;=act_horizon_n),CHOOSE(act_scn_idx,AI226,BJ226,CK226),"")</f>
        <v>0</v>
      </c>
      <c r="H86" s="62">
        <f>IF(AND(OR(act_view_idx=2,act_view_idx=4),6&lt;=act_horizon_n),CHOOSE(act_scn_idx,AJ226,BK226,CL226),"")</f>
        <v>0</v>
      </c>
      <c r="I86" s="62">
        <f>IF(AND(OR(act_view_idx=2,act_view_idx=4),7&lt;=act_horizon_n),CHOOSE(act_scn_idx,AK226,BL226,CM226),"")</f>
        <v>0</v>
      </c>
      <c r="J86" s="62">
        <f>IF(AND(OR(act_view_idx=2,act_view_idx=4),8&lt;=act_horizon_n),CHOOSE(act_scn_idx,AL226,BM226,CN226),"")</f>
        <v>0</v>
      </c>
      <c r="K86" s="62">
        <f>IF(AND(OR(act_view_idx=2,act_view_idx=4),9&lt;=act_horizon_n),CHOOSE(act_scn_idx,AM226,BN226,CO226),"")</f>
        <v>0</v>
      </c>
      <c r="L86" s="62">
        <f>IF(AND(OR(act_view_idx=2,act_view_idx=4),10&lt;=act_horizon_n),CHOOSE(act_scn_idx,AN226,BO226,CP226),"")</f>
        <v>0</v>
      </c>
      <c r="M86" s="62">
        <f>IF(AND(OR(act_view_idx=2,act_view_idx=4),11&lt;=act_horizon_n),CHOOSE(act_scn_idx,AO226,BP226,CQ226),"")</f>
        <v>0</v>
      </c>
      <c r="N86" s="62">
        <f>IF(AND(OR(act_view_idx=2,act_view_idx=4),12&lt;=act_horizon_n),CHOOSE(act_scn_idx,AP226,BQ226,CR226),"")</f>
        <v>0</v>
      </c>
      <c r="O86" s="62">
        <f>IF(AND(OR(act_view_idx=2,act_view_idx=4),13&lt;=act_horizon_n),CHOOSE(act_scn_idx,AQ226,BR226,CS226),"")</f>
        <v>0</v>
      </c>
      <c r="P86" s="62">
        <f>IF(AND(OR(act_view_idx=2,act_view_idx=4),14&lt;=act_horizon_n),CHOOSE(act_scn_idx,AR226,BS226,CT226),"")</f>
        <v>0</v>
      </c>
      <c r="Q86" s="62">
        <f>IF(AND(OR(act_view_idx=2,act_view_idx=4),15&lt;=act_horizon_n),CHOOSE(act_scn_idx,AS226,BT226,CU226),"")</f>
        <v>0</v>
      </c>
      <c r="R86" s="62">
        <f>IF(AND(OR(act_view_idx=2,act_view_idx=4),16&lt;=act_horizon_n),CHOOSE(act_scn_idx,AT226,BU226,CV226),"")</f>
        <v>0</v>
      </c>
      <c r="S86" s="62">
        <f>IF(AND(OR(act_view_idx=2,act_view_idx=4),17&lt;=act_horizon_n),CHOOSE(act_scn_idx,AU226,BV226,CW226),"")</f>
        <v>0</v>
      </c>
      <c r="T86" s="62">
        <f>IF(AND(OR(act_view_idx=2,act_view_idx=4),18&lt;=act_horizon_n),CHOOSE(act_scn_idx,AV226,BW226,CX226),"")</f>
        <v>0</v>
      </c>
      <c r="U86" s="62">
        <f>IF(AND(OR(act_view_idx=2,act_view_idx=4),19&lt;=act_horizon_n),CHOOSE(act_scn_idx,AW226,BX226,CY226),"")</f>
        <v>0</v>
      </c>
      <c r="V86" s="62">
        <f>IF(AND(OR(act_view_idx=2,act_view_idx=4),20&lt;=act_horizon_n),CHOOSE(act_scn_idx,AX226,BY226,CZ226),"")</f>
        <v>0</v>
      </c>
      <c r="W86" s="62">
        <f>IF(AND(OR(act_view_idx=2,act_view_idx=4),21&lt;=act_horizon_n),CHOOSE(act_scn_idx,AY226,BZ226,DA226),"")</f>
        <v>0</v>
      </c>
      <c r="X86" s="62">
        <f>IF(AND(OR(act_view_idx=2,act_view_idx=4),22&lt;=act_horizon_n),CHOOSE(act_scn_idx,AZ226,CA226,DB226),"")</f>
        <v>0</v>
      </c>
      <c r="Y86" s="62">
        <f>IF(AND(OR(act_view_idx=2,act_view_idx=4),23&lt;=act_horizon_n),CHOOSE(act_scn_idx,BA226,CB226,DC226),"")</f>
        <v>0</v>
      </c>
      <c r="Z86" s="62">
        <f>IF(AND(OR(act_view_idx=2,act_view_idx=4),24&lt;=act_horizon_n),CHOOSE(act_scn_idx,BB226,CC226,DD226),"")</f>
        <v>0</v>
      </c>
      <c r="AA86" s="1"/>
      <c r="AB86" s="63">
        <f>IF(OR(act_view_idx=2,act_view_idx=4),CHOOSE(act_scn_idx,BC226,CD226,DE226),"")</f>
        <v>0</v>
      </c>
      <c r="AC86" s="63">
        <f>IF(AND(OR(act_view_idx=2,act_view_idx=4),act_horizon_n&gt;=24),CHOOSE(act_scn_idx,BD226,CE226,DF226),"")</f>
        <v>0</v>
      </c>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c r="DH86"/>
    </row>
    <row r="87" spans="1:112" ht="20" customHeight="1" x14ac:dyDescent="0.2">
      <c r="A87" s="1"/>
      <c r="B87" s="22" t="str">
        <f>IF(OR(act_view_idx=2,act_view_idx=4),"   − Increase in other current assets","")</f>
        <v xml:space="preserve">   − Increase in other current assets</v>
      </c>
      <c r="C87" s="62">
        <f>IF(AND(OR(act_view_idx=2,act_view_idx=4),1&lt;=act_horizon_n),CHOOSE(act_scn_idx,(-AE229),(-BF229),(-CG229)),"")</f>
        <v>0</v>
      </c>
      <c r="D87" s="62">
        <f>IF(AND(OR(act_view_idx=2,act_view_idx=4),2&lt;=act_horizon_n),CHOOSE(act_scn_idx,(-AF229),(-BG229),(-CH229)),"")</f>
        <v>0</v>
      </c>
      <c r="E87" s="62">
        <f>IF(AND(OR(act_view_idx=2,act_view_idx=4),3&lt;=act_horizon_n),CHOOSE(act_scn_idx,(-AG229),(-BH229),(-CI229)),"")</f>
        <v>0</v>
      </c>
      <c r="F87" s="62">
        <f>IF(AND(OR(act_view_idx=2,act_view_idx=4),4&lt;=act_horizon_n),CHOOSE(act_scn_idx,(-AH229),(-BI229),(-CJ229)),"")</f>
        <v>0</v>
      </c>
      <c r="G87" s="62">
        <f>IF(AND(OR(act_view_idx=2,act_view_idx=4),5&lt;=act_horizon_n),CHOOSE(act_scn_idx,(-AI229),(-BJ229),(-CK229)),"")</f>
        <v>0</v>
      </c>
      <c r="H87" s="62">
        <f>IF(AND(OR(act_view_idx=2,act_view_idx=4),6&lt;=act_horizon_n),CHOOSE(act_scn_idx,(-AJ229),(-BK229),(-CL229)),"")</f>
        <v>0</v>
      </c>
      <c r="I87" s="62">
        <f>IF(AND(OR(act_view_idx=2,act_view_idx=4),7&lt;=act_horizon_n),CHOOSE(act_scn_idx,(-AK229),(-BL229),(-CM229)),"")</f>
        <v>0</v>
      </c>
      <c r="J87" s="62">
        <f>IF(AND(OR(act_view_idx=2,act_view_idx=4),8&lt;=act_horizon_n),CHOOSE(act_scn_idx,(-AL229),(-BM229),(-CN229)),"")</f>
        <v>0</v>
      </c>
      <c r="K87" s="62">
        <f>IF(AND(OR(act_view_idx=2,act_view_idx=4),9&lt;=act_horizon_n),CHOOSE(act_scn_idx,(-AM229),(-BN229),(-CO229)),"")</f>
        <v>0</v>
      </c>
      <c r="L87" s="62">
        <f>IF(AND(OR(act_view_idx=2,act_view_idx=4),10&lt;=act_horizon_n),CHOOSE(act_scn_idx,(-AN229),(-BO229),(-CP229)),"")</f>
        <v>0</v>
      </c>
      <c r="M87" s="62">
        <f>IF(AND(OR(act_view_idx=2,act_view_idx=4),11&lt;=act_horizon_n),CHOOSE(act_scn_idx,(-AO229),(-BP229),(-CQ229)),"")</f>
        <v>0</v>
      </c>
      <c r="N87" s="62">
        <f>IF(AND(OR(act_view_idx=2,act_view_idx=4),12&lt;=act_horizon_n),CHOOSE(act_scn_idx,(-AP229),(-BQ229),(-CR229)),"")</f>
        <v>0</v>
      </c>
      <c r="O87" s="62">
        <f>IF(AND(OR(act_view_idx=2,act_view_idx=4),13&lt;=act_horizon_n),CHOOSE(act_scn_idx,(-AQ229),(-BR229),(-CS229)),"")</f>
        <v>0</v>
      </c>
      <c r="P87" s="62">
        <f>IF(AND(OR(act_view_idx=2,act_view_idx=4),14&lt;=act_horizon_n),CHOOSE(act_scn_idx,(-AR229),(-BS229),(-CT229)),"")</f>
        <v>0</v>
      </c>
      <c r="Q87" s="62">
        <f>IF(AND(OR(act_view_idx=2,act_view_idx=4),15&lt;=act_horizon_n),CHOOSE(act_scn_idx,(-AS229),(-BT229),(-CU229)),"")</f>
        <v>0</v>
      </c>
      <c r="R87" s="62">
        <f>IF(AND(OR(act_view_idx=2,act_view_idx=4),16&lt;=act_horizon_n),CHOOSE(act_scn_idx,(-AT229),(-BU229),(-CV229)),"")</f>
        <v>0</v>
      </c>
      <c r="S87" s="62">
        <f>IF(AND(OR(act_view_idx=2,act_view_idx=4),17&lt;=act_horizon_n),CHOOSE(act_scn_idx,(-AU229),(-BV229),(-CW229)),"")</f>
        <v>0</v>
      </c>
      <c r="T87" s="62">
        <f>IF(AND(OR(act_view_idx=2,act_view_idx=4),18&lt;=act_horizon_n),CHOOSE(act_scn_idx,(-AV229),(-BW229),(-CX229)),"")</f>
        <v>0</v>
      </c>
      <c r="U87" s="62">
        <f>IF(AND(OR(act_view_idx=2,act_view_idx=4),19&lt;=act_horizon_n),CHOOSE(act_scn_idx,(-AW229),(-BX229),(-CY229)),"")</f>
        <v>0</v>
      </c>
      <c r="V87" s="62">
        <f>IF(AND(OR(act_view_idx=2,act_view_idx=4),20&lt;=act_horizon_n),CHOOSE(act_scn_idx,(-AX229),(-BY229),(-CZ229)),"")</f>
        <v>0</v>
      </c>
      <c r="W87" s="62">
        <f>IF(AND(OR(act_view_idx=2,act_view_idx=4),21&lt;=act_horizon_n),CHOOSE(act_scn_idx,(-AY229),(-BZ229),(-DA229)),"")</f>
        <v>0</v>
      </c>
      <c r="X87" s="62">
        <f>IF(AND(OR(act_view_idx=2,act_view_idx=4),22&lt;=act_horizon_n),CHOOSE(act_scn_idx,(-AZ229),(-CA229),(-DB229)),"")</f>
        <v>0</v>
      </c>
      <c r="Y87" s="62">
        <f>IF(AND(OR(act_view_idx=2,act_view_idx=4),23&lt;=act_horizon_n),CHOOSE(act_scn_idx,(-BA229),(-CB229),(-DC229)),"")</f>
        <v>0</v>
      </c>
      <c r="Z87" s="62">
        <f>IF(AND(OR(act_view_idx=2,act_view_idx=4),24&lt;=act_horizon_n),CHOOSE(act_scn_idx,(-BB229),(-CC229),(-DD229)),"")</f>
        <v>0</v>
      </c>
      <c r="AA87" s="1"/>
      <c r="AB87" s="63">
        <f>IF(OR(act_view_idx=2,act_view_idx=4),CHOOSE(act_scn_idx,(-BC229),(-CD229),(-DE229)),"")</f>
        <v>0</v>
      </c>
      <c r="AC87" s="63">
        <f>IF(AND(OR(act_view_idx=2,act_view_idx=4),act_horizon_n&gt;=24),CHOOSE(act_scn_idx,(-BD229),(-CE229),(-DF229)),"")</f>
        <v>0</v>
      </c>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c r="DH87"/>
    </row>
    <row r="88" spans="1:112" ht="20" customHeight="1" x14ac:dyDescent="0.2">
      <c r="A88" s="1"/>
      <c r="B88" s="22" t="str">
        <f>IF(OR(act_view_idx=2,act_view_idx=4),"   + Increase in other current liabilities","")</f>
        <v xml:space="preserve">   + Increase in other current liabilities</v>
      </c>
      <c r="C88" s="62">
        <f>IF(AND(OR(act_view_idx=2,act_view_idx=4),1&lt;=act_horizon_n),CHOOSE(act_scn_idx,AE232,BF232,CG232),"")</f>
        <v>0</v>
      </c>
      <c r="D88" s="62">
        <f>IF(AND(OR(act_view_idx=2,act_view_idx=4),2&lt;=act_horizon_n),CHOOSE(act_scn_idx,AF232,BG232,CH232),"")</f>
        <v>0</v>
      </c>
      <c r="E88" s="62">
        <f>IF(AND(OR(act_view_idx=2,act_view_idx=4),3&lt;=act_horizon_n),CHOOSE(act_scn_idx,AG232,BH232,CI232),"")</f>
        <v>0</v>
      </c>
      <c r="F88" s="62">
        <f>IF(AND(OR(act_view_idx=2,act_view_idx=4),4&lt;=act_horizon_n),CHOOSE(act_scn_idx,AH232,BI232,CJ232),"")</f>
        <v>0</v>
      </c>
      <c r="G88" s="62">
        <f>IF(AND(OR(act_view_idx=2,act_view_idx=4),5&lt;=act_horizon_n),CHOOSE(act_scn_idx,AI232,BJ232,CK232),"")</f>
        <v>0</v>
      </c>
      <c r="H88" s="62">
        <f>IF(AND(OR(act_view_idx=2,act_view_idx=4),6&lt;=act_horizon_n),CHOOSE(act_scn_idx,AJ232,BK232,CL232),"")</f>
        <v>0</v>
      </c>
      <c r="I88" s="62">
        <f>IF(AND(OR(act_view_idx=2,act_view_idx=4),7&lt;=act_horizon_n),CHOOSE(act_scn_idx,AK232,BL232,CM232),"")</f>
        <v>0</v>
      </c>
      <c r="J88" s="62">
        <f>IF(AND(OR(act_view_idx=2,act_view_idx=4),8&lt;=act_horizon_n),CHOOSE(act_scn_idx,AL232,BM232,CN232),"")</f>
        <v>0</v>
      </c>
      <c r="K88" s="62">
        <f>IF(AND(OR(act_view_idx=2,act_view_idx=4),9&lt;=act_horizon_n),CHOOSE(act_scn_idx,AM232,BN232,CO232),"")</f>
        <v>0</v>
      </c>
      <c r="L88" s="62">
        <f>IF(AND(OR(act_view_idx=2,act_view_idx=4),10&lt;=act_horizon_n),CHOOSE(act_scn_idx,AN232,BO232,CP232),"")</f>
        <v>0</v>
      </c>
      <c r="M88" s="62">
        <f>IF(AND(OR(act_view_idx=2,act_view_idx=4),11&lt;=act_horizon_n),CHOOSE(act_scn_idx,AO232,BP232,CQ232),"")</f>
        <v>0</v>
      </c>
      <c r="N88" s="62">
        <f>IF(AND(OR(act_view_idx=2,act_view_idx=4),12&lt;=act_horizon_n),CHOOSE(act_scn_idx,AP232,BQ232,CR232),"")</f>
        <v>0</v>
      </c>
      <c r="O88" s="62">
        <f>IF(AND(OR(act_view_idx=2,act_view_idx=4),13&lt;=act_horizon_n),CHOOSE(act_scn_idx,AQ232,BR232,CS232),"")</f>
        <v>0</v>
      </c>
      <c r="P88" s="62">
        <f>IF(AND(OR(act_view_idx=2,act_view_idx=4),14&lt;=act_horizon_n),CHOOSE(act_scn_idx,AR232,BS232,CT232),"")</f>
        <v>0</v>
      </c>
      <c r="Q88" s="62">
        <f>IF(AND(OR(act_view_idx=2,act_view_idx=4),15&lt;=act_horizon_n),CHOOSE(act_scn_idx,AS232,BT232,CU232),"")</f>
        <v>0</v>
      </c>
      <c r="R88" s="62">
        <f>IF(AND(OR(act_view_idx=2,act_view_idx=4),16&lt;=act_horizon_n),CHOOSE(act_scn_idx,AT232,BU232,CV232),"")</f>
        <v>0</v>
      </c>
      <c r="S88" s="62">
        <f>IF(AND(OR(act_view_idx=2,act_view_idx=4),17&lt;=act_horizon_n),CHOOSE(act_scn_idx,AU232,BV232,CW232),"")</f>
        <v>0</v>
      </c>
      <c r="T88" s="62">
        <f>IF(AND(OR(act_view_idx=2,act_view_idx=4),18&lt;=act_horizon_n),CHOOSE(act_scn_idx,AV232,BW232,CX232),"")</f>
        <v>0</v>
      </c>
      <c r="U88" s="62">
        <f>IF(AND(OR(act_view_idx=2,act_view_idx=4),19&lt;=act_horizon_n),CHOOSE(act_scn_idx,AW232,BX232,CY232),"")</f>
        <v>0</v>
      </c>
      <c r="V88" s="62">
        <f>IF(AND(OR(act_view_idx=2,act_view_idx=4),20&lt;=act_horizon_n),CHOOSE(act_scn_idx,AX232,BY232,CZ232),"")</f>
        <v>0</v>
      </c>
      <c r="W88" s="62">
        <f>IF(AND(OR(act_view_idx=2,act_view_idx=4),21&lt;=act_horizon_n),CHOOSE(act_scn_idx,AY232,BZ232,DA232),"")</f>
        <v>0</v>
      </c>
      <c r="X88" s="62">
        <f>IF(AND(OR(act_view_idx=2,act_view_idx=4),22&lt;=act_horizon_n),CHOOSE(act_scn_idx,AZ232,CA232,DB232),"")</f>
        <v>0</v>
      </c>
      <c r="Y88" s="62">
        <f>IF(AND(OR(act_view_idx=2,act_view_idx=4),23&lt;=act_horizon_n),CHOOSE(act_scn_idx,BA232,CB232,DC232),"")</f>
        <v>0</v>
      </c>
      <c r="Z88" s="62">
        <f>IF(AND(OR(act_view_idx=2,act_view_idx=4),24&lt;=act_horizon_n),CHOOSE(act_scn_idx,BB232,CC232,DD232),"")</f>
        <v>0</v>
      </c>
      <c r="AA88" s="1"/>
      <c r="AB88" s="63">
        <f>IF(OR(act_view_idx=2,act_view_idx=4),CHOOSE(act_scn_idx,BC232,CD232,DE232),"")</f>
        <v>0</v>
      </c>
      <c r="AC88" s="63">
        <f>IF(AND(OR(act_view_idx=2,act_view_idx=4),act_horizon_n&gt;=24),CHOOSE(act_scn_idx,BD232,CE232,DF232),"")</f>
        <v>0</v>
      </c>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c r="DH88"/>
    </row>
    <row r="89" spans="1:112" ht="20" customHeight="1" x14ac:dyDescent="0.2">
      <c r="A89" s="1"/>
      <c r="B89" s="22" t="str">
        <f>IF(OR(act_view_idx=2,act_view_idx=4),"   + Increase in tax payable","")</f>
        <v xml:space="preserve">   + Increase in tax payable</v>
      </c>
      <c r="C89" s="62">
        <f>IF(AND(OR(act_view_idx=2,act_view_idx=4),1&lt;=act_horizon_n),CHOOSE(act_scn_idx,AE236,BF236,CG236),"")</f>
        <v>0</v>
      </c>
      <c r="D89" s="62">
        <f>IF(AND(OR(act_view_idx=2,act_view_idx=4),2&lt;=act_horizon_n),CHOOSE(act_scn_idx,AF236,BG236,CH236),"")</f>
        <v>0</v>
      </c>
      <c r="E89" s="62">
        <f>IF(AND(OR(act_view_idx=2,act_view_idx=4),3&lt;=act_horizon_n),CHOOSE(act_scn_idx,AG236,BH236,CI236),"")</f>
        <v>0</v>
      </c>
      <c r="F89" s="62">
        <f>IF(AND(OR(act_view_idx=2,act_view_idx=4),4&lt;=act_horizon_n),CHOOSE(act_scn_idx,AH236,BI236,CJ236),"")</f>
        <v>0</v>
      </c>
      <c r="G89" s="62">
        <f>IF(AND(OR(act_view_idx=2,act_view_idx=4),5&lt;=act_horizon_n),CHOOSE(act_scn_idx,AI236,BJ236,CK236),"")</f>
        <v>0</v>
      </c>
      <c r="H89" s="62">
        <f>IF(AND(OR(act_view_idx=2,act_view_idx=4),6&lt;=act_horizon_n),CHOOSE(act_scn_idx,AJ236,BK236,CL236),"")</f>
        <v>0</v>
      </c>
      <c r="I89" s="62">
        <f>IF(AND(OR(act_view_idx=2,act_view_idx=4),7&lt;=act_horizon_n),CHOOSE(act_scn_idx,AK236,BL236,CM236),"")</f>
        <v>0</v>
      </c>
      <c r="J89" s="62">
        <f>IF(AND(OR(act_view_idx=2,act_view_idx=4),8&lt;=act_horizon_n),CHOOSE(act_scn_idx,AL236,BM236,CN236),"")</f>
        <v>0</v>
      </c>
      <c r="K89" s="62">
        <f>IF(AND(OR(act_view_idx=2,act_view_idx=4),9&lt;=act_horizon_n),CHOOSE(act_scn_idx,AM236,BN236,CO236),"")</f>
        <v>0</v>
      </c>
      <c r="L89" s="62">
        <f>IF(AND(OR(act_view_idx=2,act_view_idx=4),10&lt;=act_horizon_n),CHOOSE(act_scn_idx,AN236,BO236,CP236),"")</f>
        <v>0</v>
      </c>
      <c r="M89" s="62">
        <f>IF(AND(OR(act_view_idx=2,act_view_idx=4),11&lt;=act_horizon_n),CHOOSE(act_scn_idx,AO236,BP236,CQ236),"")</f>
        <v>0</v>
      </c>
      <c r="N89" s="62">
        <f>IF(AND(OR(act_view_idx=2,act_view_idx=4),12&lt;=act_horizon_n),CHOOSE(act_scn_idx,AP236,BQ236,CR236),"")</f>
        <v>0</v>
      </c>
      <c r="O89" s="62">
        <f>IF(AND(OR(act_view_idx=2,act_view_idx=4),13&lt;=act_horizon_n),CHOOSE(act_scn_idx,AQ236,BR236,CS236),"")</f>
        <v>0</v>
      </c>
      <c r="P89" s="62">
        <f>IF(AND(OR(act_view_idx=2,act_view_idx=4),14&lt;=act_horizon_n),CHOOSE(act_scn_idx,AR236,BS236,CT236),"")</f>
        <v>0</v>
      </c>
      <c r="Q89" s="62">
        <f>IF(AND(OR(act_view_idx=2,act_view_idx=4),15&lt;=act_horizon_n),CHOOSE(act_scn_idx,AS236,BT236,CU236),"")</f>
        <v>0</v>
      </c>
      <c r="R89" s="62">
        <f>IF(AND(OR(act_view_idx=2,act_view_idx=4),16&lt;=act_horizon_n),CHOOSE(act_scn_idx,AT236,BU236,CV236),"")</f>
        <v>0</v>
      </c>
      <c r="S89" s="62">
        <f>IF(AND(OR(act_view_idx=2,act_view_idx=4),17&lt;=act_horizon_n),CHOOSE(act_scn_idx,AU236,BV236,CW236),"")</f>
        <v>0</v>
      </c>
      <c r="T89" s="62">
        <f>IF(AND(OR(act_view_idx=2,act_view_idx=4),18&lt;=act_horizon_n),CHOOSE(act_scn_idx,AV236,BW236,CX236),"")</f>
        <v>0</v>
      </c>
      <c r="U89" s="62">
        <f>IF(AND(OR(act_view_idx=2,act_view_idx=4),19&lt;=act_horizon_n),CHOOSE(act_scn_idx,AW236,BX236,CY236),"")</f>
        <v>0</v>
      </c>
      <c r="V89" s="62">
        <f>IF(AND(OR(act_view_idx=2,act_view_idx=4),20&lt;=act_horizon_n),CHOOSE(act_scn_idx,AX236,BY236,CZ236),"")</f>
        <v>0</v>
      </c>
      <c r="W89" s="62">
        <f>IF(AND(OR(act_view_idx=2,act_view_idx=4),21&lt;=act_horizon_n),CHOOSE(act_scn_idx,AY236,BZ236,DA236),"")</f>
        <v>0</v>
      </c>
      <c r="X89" s="62">
        <f>IF(AND(OR(act_view_idx=2,act_view_idx=4),22&lt;=act_horizon_n),CHOOSE(act_scn_idx,AZ236,CA236,DB236),"")</f>
        <v>0</v>
      </c>
      <c r="Y89" s="62">
        <f>IF(AND(OR(act_view_idx=2,act_view_idx=4),23&lt;=act_horizon_n),CHOOSE(act_scn_idx,BA236,CB236,DC236),"")</f>
        <v>0</v>
      </c>
      <c r="Z89" s="62">
        <f>IF(AND(OR(act_view_idx=2,act_view_idx=4),24&lt;=act_horizon_n),CHOOSE(act_scn_idx,BB236,CC236,DD236),"")</f>
        <v>0</v>
      </c>
      <c r="AA89" s="1"/>
      <c r="AB89" s="63">
        <f>IF(OR(act_view_idx=2,act_view_idx=4),CHOOSE(act_scn_idx,BC236,CD236,DE236),"")</f>
        <v>0</v>
      </c>
      <c r="AC89" s="63">
        <f>IF(AND(OR(act_view_idx=2,act_view_idx=4),act_horizon_n&gt;=24),CHOOSE(act_scn_idx,BD236,CE236,DF236),"")</f>
        <v>0</v>
      </c>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c r="DH89"/>
    </row>
    <row r="90" spans="1:112" ht="20" customHeight="1" x14ac:dyDescent="0.2">
      <c r="A90" s="1"/>
      <c r="B90" s="64" t="str">
        <f>IF(OR(act_view_idx=2,act_view_idx=4),"Operating cash flow","")</f>
        <v>Operating cash flow</v>
      </c>
      <c r="C90" s="65">
        <f>IF(AND(OR(act_view_idx=2,act_view_idx=4),1&lt;=act_horizon_n),CHOOSE(act_scn_idx,AE238,BF238,CG238),"")</f>
        <v>0</v>
      </c>
      <c r="D90" s="65">
        <f>IF(AND(OR(act_view_idx=2,act_view_idx=4),2&lt;=act_horizon_n),CHOOSE(act_scn_idx,AF238,BG238,CH238),"")</f>
        <v>0</v>
      </c>
      <c r="E90" s="65">
        <f>IF(AND(OR(act_view_idx=2,act_view_idx=4),3&lt;=act_horizon_n),CHOOSE(act_scn_idx,AG238,BH238,CI238),"")</f>
        <v>0</v>
      </c>
      <c r="F90" s="65">
        <f>IF(AND(OR(act_view_idx=2,act_view_idx=4),4&lt;=act_horizon_n),CHOOSE(act_scn_idx,AH238,BI238,CJ238),"")</f>
        <v>0</v>
      </c>
      <c r="G90" s="65">
        <f>IF(AND(OR(act_view_idx=2,act_view_idx=4),5&lt;=act_horizon_n),CHOOSE(act_scn_idx,AI238,BJ238,CK238),"")</f>
        <v>0</v>
      </c>
      <c r="H90" s="65">
        <f>IF(AND(OR(act_view_idx=2,act_view_idx=4),6&lt;=act_horizon_n),CHOOSE(act_scn_idx,AJ238,BK238,CL238),"")</f>
        <v>0</v>
      </c>
      <c r="I90" s="65">
        <f>IF(AND(OR(act_view_idx=2,act_view_idx=4),7&lt;=act_horizon_n),CHOOSE(act_scn_idx,AK238,BL238,CM238),"")</f>
        <v>0</v>
      </c>
      <c r="J90" s="65">
        <f>IF(AND(OR(act_view_idx=2,act_view_idx=4),8&lt;=act_horizon_n),CHOOSE(act_scn_idx,AL238,BM238,CN238),"")</f>
        <v>0</v>
      </c>
      <c r="K90" s="65">
        <f>IF(AND(OR(act_view_idx=2,act_view_idx=4),9&lt;=act_horizon_n),CHOOSE(act_scn_idx,AM238,BN238,CO238),"")</f>
        <v>0</v>
      </c>
      <c r="L90" s="65">
        <f>IF(AND(OR(act_view_idx=2,act_view_idx=4),10&lt;=act_horizon_n),CHOOSE(act_scn_idx,AN238,BO238,CP238),"")</f>
        <v>0</v>
      </c>
      <c r="M90" s="65">
        <f>IF(AND(OR(act_view_idx=2,act_view_idx=4),11&lt;=act_horizon_n),CHOOSE(act_scn_idx,AO238,BP238,CQ238),"")</f>
        <v>0</v>
      </c>
      <c r="N90" s="65">
        <f>IF(AND(OR(act_view_idx=2,act_view_idx=4),12&lt;=act_horizon_n),CHOOSE(act_scn_idx,AP238,BQ238,CR238),"")</f>
        <v>0</v>
      </c>
      <c r="O90" s="65">
        <f>IF(AND(OR(act_view_idx=2,act_view_idx=4),13&lt;=act_horizon_n),CHOOSE(act_scn_idx,AQ238,BR238,CS238),"")</f>
        <v>0</v>
      </c>
      <c r="P90" s="65">
        <f>IF(AND(OR(act_view_idx=2,act_view_idx=4),14&lt;=act_horizon_n),CHOOSE(act_scn_idx,AR238,BS238,CT238),"")</f>
        <v>0</v>
      </c>
      <c r="Q90" s="65">
        <f>IF(AND(OR(act_view_idx=2,act_view_idx=4),15&lt;=act_horizon_n),CHOOSE(act_scn_idx,AS238,BT238,CU238),"")</f>
        <v>0</v>
      </c>
      <c r="R90" s="65">
        <f>IF(AND(OR(act_view_idx=2,act_view_idx=4),16&lt;=act_horizon_n),CHOOSE(act_scn_idx,AT238,BU238,CV238),"")</f>
        <v>0</v>
      </c>
      <c r="S90" s="65">
        <f>IF(AND(OR(act_view_idx=2,act_view_idx=4),17&lt;=act_horizon_n),CHOOSE(act_scn_idx,AU238,BV238,CW238),"")</f>
        <v>0</v>
      </c>
      <c r="T90" s="65">
        <f>IF(AND(OR(act_view_idx=2,act_view_idx=4),18&lt;=act_horizon_n),CHOOSE(act_scn_idx,AV238,BW238,CX238),"")</f>
        <v>0</v>
      </c>
      <c r="U90" s="65">
        <f>IF(AND(OR(act_view_idx=2,act_view_idx=4),19&lt;=act_horizon_n),CHOOSE(act_scn_idx,AW238,BX238,CY238),"")</f>
        <v>0</v>
      </c>
      <c r="V90" s="65">
        <f>IF(AND(OR(act_view_idx=2,act_view_idx=4),20&lt;=act_horizon_n),CHOOSE(act_scn_idx,AX238,BY238,CZ238),"")</f>
        <v>0</v>
      </c>
      <c r="W90" s="65">
        <f>IF(AND(OR(act_view_idx=2,act_view_idx=4),21&lt;=act_horizon_n),CHOOSE(act_scn_idx,AY238,BZ238,DA238),"")</f>
        <v>0</v>
      </c>
      <c r="X90" s="65">
        <f>IF(AND(OR(act_view_idx=2,act_view_idx=4),22&lt;=act_horizon_n),CHOOSE(act_scn_idx,AZ238,CA238,DB238),"")</f>
        <v>0</v>
      </c>
      <c r="Y90" s="65">
        <f>IF(AND(OR(act_view_idx=2,act_view_idx=4),23&lt;=act_horizon_n),CHOOSE(act_scn_idx,BA238,CB238,DC238),"")</f>
        <v>0</v>
      </c>
      <c r="Z90" s="65">
        <f>IF(AND(OR(act_view_idx=2,act_view_idx=4),24&lt;=act_horizon_n),CHOOSE(act_scn_idx,BB238,CC238,DD238),"")</f>
        <v>0</v>
      </c>
      <c r="AA90" s="1"/>
      <c r="AB90" s="65">
        <f>IF(OR(act_view_idx=2,act_view_idx=4),CHOOSE(act_scn_idx,BC238,CD238,DE238),"")</f>
        <v>0</v>
      </c>
      <c r="AC90" s="65">
        <f>IF(AND(OR(act_view_idx=2,act_view_idx=4),act_horizon_n&gt;=24),CHOOSE(act_scn_idx,BD238,CE238,DF238),"")</f>
        <v>0</v>
      </c>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c r="DH90"/>
    </row>
    <row r="91" spans="1:112" ht="20" customHeight="1" x14ac:dyDescent="0.2">
      <c r="A91" s="1"/>
      <c r="B91" s="61" t="str">
        <f>IF(OR(act_view_idx=2,act_view_idx=4),"INVESTING CASH FLOW","")</f>
        <v>INVESTING CASH FLOW</v>
      </c>
      <c r="C91" s="2"/>
      <c r="D91" s="2"/>
      <c r="E91" s="2"/>
      <c r="F91" s="2"/>
      <c r="G91" s="2"/>
      <c r="H91" s="2"/>
      <c r="I91" s="2"/>
      <c r="J91" s="2"/>
      <c r="K91" s="2"/>
      <c r="L91" s="2"/>
      <c r="M91" s="2"/>
      <c r="N91" s="2"/>
      <c r="O91" s="2"/>
      <c r="P91" s="2"/>
      <c r="Q91" s="2"/>
      <c r="R91" s="2"/>
      <c r="S91" s="2"/>
      <c r="T91" s="2"/>
      <c r="U91" s="2"/>
      <c r="V91" s="2"/>
      <c r="W91" s="2"/>
      <c r="X91" s="2"/>
      <c r="Y91" s="2"/>
      <c r="Z91" s="2"/>
      <c r="AA91" s="1"/>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c r="DH91"/>
    </row>
    <row r="92" spans="1:112" ht="20" customHeight="1" x14ac:dyDescent="0.2">
      <c r="A92" s="1"/>
      <c r="B92" s="22" t="str">
        <f>IF(OR(act_view_idx=2,act_view_idx=4),"   − Capital expenditure","")</f>
        <v xml:space="preserve">   − Capital expenditure</v>
      </c>
      <c r="C92" s="62">
        <f>IF(AND(OR(act_view_idx=2,act_view_idx=4),1&lt;=act_horizon_n),CHOOSE(act_scn_idx,(-AE239),(-BF239),(-CG239)),"")</f>
        <v>0</v>
      </c>
      <c r="D92" s="62">
        <f>IF(AND(OR(act_view_idx=2,act_view_idx=4),2&lt;=act_horizon_n),CHOOSE(act_scn_idx,(-AF239),(-BG239),(-CH239)),"")</f>
        <v>0</v>
      </c>
      <c r="E92" s="62">
        <f>IF(AND(OR(act_view_idx=2,act_view_idx=4),3&lt;=act_horizon_n),CHOOSE(act_scn_idx,(-AG239),(-BH239),(-CI239)),"")</f>
        <v>0</v>
      </c>
      <c r="F92" s="62">
        <f>IF(AND(OR(act_view_idx=2,act_view_idx=4),4&lt;=act_horizon_n),CHOOSE(act_scn_idx,(-AH239),(-BI239),(-CJ239)),"")</f>
        <v>0</v>
      </c>
      <c r="G92" s="62">
        <f>IF(AND(OR(act_view_idx=2,act_view_idx=4),5&lt;=act_horizon_n),CHOOSE(act_scn_idx,(-AI239),(-BJ239),(-CK239)),"")</f>
        <v>0</v>
      </c>
      <c r="H92" s="62">
        <f>IF(AND(OR(act_view_idx=2,act_view_idx=4),6&lt;=act_horizon_n),CHOOSE(act_scn_idx,(-AJ239),(-BK239),(-CL239)),"")</f>
        <v>0</v>
      </c>
      <c r="I92" s="62">
        <f>IF(AND(OR(act_view_idx=2,act_view_idx=4),7&lt;=act_horizon_n),CHOOSE(act_scn_idx,(-AK239),(-BL239),(-CM239)),"")</f>
        <v>0</v>
      </c>
      <c r="J92" s="62">
        <f>IF(AND(OR(act_view_idx=2,act_view_idx=4),8&lt;=act_horizon_n),CHOOSE(act_scn_idx,(-AL239),(-BM239),(-CN239)),"")</f>
        <v>0</v>
      </c>
      <c r="K92" s="62">
        <f>IF(AND(OR(act_view_idx=2,act_view_idx=4),9&lt;=act_horizon_n),CHOOSE(act_scn_idx,(-AM239),(-BN239),(-CO239)),"")</f>
        <v>0</v>
      </c>
      <c r="L92" s="62">
        <f>IF(AND(OR(act_view_idx=2,act_view_idx=4),10&lt;=act_horizon_n),CHOOSE(act_scn_idx,(-AN239),(-BO239),(-CP239)),"")</f>
        <v>0</v>
      </c>
      <c r="M92" s="62">
        <f>IF(AND(OR(act_view_idx=2,act_view_idx=4),11&lt;=act_horizon_n),CHOOSE(act_scn_idx,(-AO239),(-BP239),(-CQ239)),"")</f>
        <v>0</v>
      </c>
      <c r="N92" s="62">
        <f>IF(AND(OR(act_view_idx=2,act_view_idx=4),12&lt;=act_horizon_n),CHOOSE(act_scn_idx,(-AP239),(-BQ239),(-CR239)),"")</f>
        <v>0</v>
      </c>
      <c r="O92" s="62">
        <f>IF(AND(OR(act_view_idx=2,act_view_idx=4),13&lt;=act_horizon_n),CHOOSE(act_scn_idx,(-AQ239),(-BR239),(-CS239)),"")</f>
        <v>0</v>
      </c>
      <c r="P92" s="62">
        <f>IF(AND(OR(act_view_idx=2,act_view_idx=4),14&lt;=act_horizon_n),CHOOSE(act_scn_idx,(-AR239),(-BS239),(-CT239)),"")</f>
        <v>0</v>
      </c>
      <c r="Q92" s="62">
        <f>IF(AND(OR(act_view_idx=2,act_view_idx=4),15&lt;=act_horizon_n),CHOOSE(act_scn_idx,(-AS239),(-BT239),(-CU239)),"")</f>
        <v>0</v>
      </c>
      <c r="R92" s="62">
        <f>IF(AND(OR(act_view_idx=2,act_view_idx=4),16&lt;=act_horizon_n),CHOOSE(act_scn_idx,(-AT239),(-BU239),(-CV239)),"")</f>
        <v>0</v>
      </c>
      <c r="S92" s="62">
        <f>IF(AND(OR(act_view_idx=2,act_view_idx=4),17&lt;=act_horizon_n),CHOOSE(act_scn_idx,(-AU239),(-BV239),(-CW239)),"")</f>
        <v>0</v>
      </c>
      <c r="T92" s="62">
        <f>IF(AND(OR(act_view_idx=2,act_view_idx=4),18&lt;=act_horizon_n),CHOOSE(act_scn_idx,(-AV239),(-BW239),(-CX239)),"")</f>
        <v>0</v>
      </c>
      <c r="U92" s="62">
        <f>IF(AND(OR(act_view_idx=2,act_view_idx=4),19&lt;=act_horizon_n),CHOOSE(act_scn_idx,(-AW239),(-BX239),(-CY239)),"")</f>
        <v>0</v>
      </c>
      <c r="V92" s="62">
        <f>IF(AND(OR(act_view_idx=2,act_view_idx=4),20&lt;=act_horizon_n),CHOOSE(act_scn_idx,(-AX239),(-BY239),(-CZ239)),"")</f>
        <v>0</v>
      </c>
      <c r="W92" s="62">
        <f>IF(AND(OR(act_view_idx=2,act_view_idx=4),21&lt;=act_horizon_n),CHOOSE(act_scn_idx,(-AY239),(-BZ239),(-DA239)),"")</f>
        <v>0</v>
      </c>
      <c r="X92" s="62">
        <f>IF(AND(OR(act_view_idx=2,act_view_idx=4),22&lt;=act_horizon_n),CHOOSE(act_scn_idx,(-AZ239),(-CA239),(-DB239)),"")</f>
        <v>0</v>
      </c>
      <c r="Y92" s="62">
        <f>IF(AND(OR(act_view_idx=2,act_view_idx=4),23&lt;=act_horizon_n),CHOOSE(act_scn_idx,(-BA239),(-CB239),(-DC239)),"")</f>
        <v>0</v>
      </c>
      <c r="Z92" s="62">
        <f>IF(AND(OR(act_view_idx=2,act_view_idx=4),24&lt;=act_horizon_n),CHOOSE(act_scn_idx,(-BB239),(-CC239),(-DD239)),"")</f>
        <v>0</v>
      </c>
      <c r="AA92" s="1"/>
      <c r="AB92" s="63">
        <f>IF(OR(act_view_idx=2,act_view_idx=4),CHOOSE(act_scn_idx,(-BC239),(-CD239),(-DE239)),"")</f>
        <v>0</v>
      </c>
      <c r="AC92" s="63">
        <f>IF(AND(OR(act_view_idx=2,act_view_idx=4),act_horizon_n&gt;=24),CHOOSE(act_scn_idx,(-BD239),(-CE239),(-DF239)),"")</f>
        <v>0</v>
      </c>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c r="DH92"/>
    </row>
    <row r="93" spans="1:112" ht="20" customHeight="1" x14ac:dyDescent="0.2">
      <c r="A93" s="1"/>
      <c r="B93" s="64" t="str">
        <f>IF(OR(act_view_idx=2,act_view_idx=4),"Investing cash flow","")</f>
        <v>Investing cash flow</v>
      </c>
      <c r="C93" s="65">
        <f>IF(AND(OR(act_view_idx=2,act_view_idx=4),1&lt;=act_horizon_n),CHOOSE(act_scn_idx,AE240,BF240,CG240),"")</f>
        <v>0</v>
      </c>
      <c r="D93" s="65">
        <f>IF(AND(OR(act_view_idx=2,act_view_idx=4),2&lt;=act_horizon_n),CHOOSE(act_scn_idx,AF240,BG240,CH240),"")</f>
        <v>0</v>
      </c>
      <c r="E93" s="65">
        <f>IF(AND(OR(act_view_idx=2,act_view_idx=4),3&lt;=act_horizon_n),CHOOSE(act_scn_idx,AG240,BH240,CI240),"")</f>
        <v>0</v>
      </c>
      <c r="F93" s="65">
        <f>IF(AND(OR(act_view_idx=2,act_view_idx=4),4&lt;=act_horizon_n),CHOOSE(act_scn_idx,AH240,BI240,CJ240),"")</f>
        <v>0</v>
      </c>
      <c r="G93" s="65">
        <f>IF(AND(OR(act_view_idx=2,act_view_idx=4),5&lt;=act_horizon_n),CHOOSE(act_scn_idx,AI240,BJ240,CK240),"")</f>
        <v>0</v>
      </c>
      <c r="H93" s="65">
        <f>IF(AND(OR(act_view_idx=2,act_view_idx=4),6&lt;=act_horizon_n),CHOOSE(act_scn_idx,AJ240,BK240,CL240),"")</f>
        <v>0</v>
      </c>
      <c r="I93" s="65">
        <f>IF(AND(OR(act_view_idx=2,act_view_idx=4),7&lt;=act_horizon_n),CHOOSE(act_scn_idx,AK240,BL240,CM240),"")</f>
        <v>0</v>
      </c>
      <c r="J93" s="65">
        <f>IF(AND(OR(act_view_idx=2,act_view_idx=4),8&lt;=act_horizon_n),CHOOSE(act_scn_idx,AL240,BM240,CN240),"")</f>
        <v>0</v>
      </c>
      <c r="K93" s="65">
        <f>IF(AND(OR(act_view_idx=2,act_view_idx=4),9&lt;=act_horizon_n),CHOOSE(act_scn_idx,AM240,BN240,CO240),"")</f>
        <v>0</v>
      </c>
      <c r="L93" s="65">
        <f>IF(AND(OR(act_view_idx=2,act_view_idx=4),10&lt;=act_horizon_n),CHOOSE(act_scn_idx,AN240,BO240,CP240),"")</f>
        <v>0</v>
      </c>
      <c r="M93" s="65">
        <f>IF(AND(OR(act_view_idx=2,act_view_idx=4),11&lt;=act_horizon_n),CHOOSE(act_scn_idx,AO240,BP240,CQ240),"")</f>
        <v>0</v>
      </c>
      <c r="N93" s="65">
        <f>IF(AND(OR(act_view_idx=2,act_view_idx=4),12&lt;=act_horizon_n),CHOOSE(act_scn_idx,AP240,BQ240,CR240),"")</f>
        <v>0</v>
      </c>
      <c r="O93" s="65">
        <f>IF(AND(OR(act_view_idx=2,act_view_idx=4),13&lt;=act_horizon_n),CHOOSE(act_scn_idx,AQ240,BR240,CS240),"")</f>
        <v>0</v>
      </c>
      <c r="P93" s="65">
        <f>IF(AND(OR(act_view_idx=2,act_view_idx=4),14&lt;=act_horizon_n),CHOOSE(act_scn_idx,AR240,BS240,CT240),"")</f>
        <v>0</v>
      </c>
      <c r="Q93" s="65">
        <f>IF(AND(OR(act_view_idx=2,act_view_idx=4),15&lt;=act_horizon_n),CHOOSE(act_scn_idx,AS240,BT240,CU240),"")</f>
        <v>0</v>
      </c>
      <c r="R93" s="65">
        <f>IF(AND(OR(act_view_idx=2,act_view_idx=4),16&lt;=act_horizon_n),CHOOSE(act_scn_idx,AT240,BU240,CV240),"")</f>
        <v>0</v>
      </c>
      <c r="S93" s="65">
        <f>IF(AND(OR(act_view_idx=2,act_view_idx=4),17&lt;=act_horizon_n),CHOOSE(act_scn_idx,AU240,BV240,CW240),"")</f>
        <v>0</v>
      </c>
      <c r="T93" s="65">
        <f>IF(AND(OR(act_view_idx=2,act_view_idx=4),18&lt;=act_horizon_n),CHOOSE(act_scn_idx,AV240,BW240,CX240),"")</f>
        <v>0</v>
      </c>
      <c r="U93" s="65">
        <f>IF(AND(OR(act_view_idx=2,act_view_idx=4),19&lt;=act_horizon_n),CHOOSE(act_scn_idx,AW240,BX240,CY240),"")</f>
        <v>0</v>
      </c>
      <c r="V93" s="65">
        <f>IF(AND(OR(act_view_idx=2,act_view_idx=4),20&lt;=act_horizon_n),CHOOSE(act_scn_idx,AX240,BY240,CZ240),"")</f>
        <v>0</v>
      </c>
      <c r="W93" s="65">
        <f>IF(AND(OR(act_view_idx=2,act_view_idx=4),21&lt;=act_horizon_n),CHOOSE(act_scn_idx,AY240,BZ240,DA240),"")</f>
        <v>0</v>
      </c>
      <c r="X93" s="65">
        <f>IF(AND(OR(act_view_idx=2,act_view_idx=4),22&lt;=act_horizon_n),CHOOSE(act_scn_idx,AZ240,CA240,DB240),"")</f>
        <v>0</v>
      </c>
      <c r="Y93" s="65">
        <f>IF(AND(OR(act_view_idx=2,act_view_idx=4),23&lt;=act_horizon_n),CHOOSE(act_scn_idx,BA240,CB240,DC240),"")</f>
        <v>0</v>
      </c>
      <c r="Z93" s="65">
        <f>IF(AND(OR(act_view_idx=2,act_view_idx=4),24&lt;=act_horizon_n),CHOOSE(act_scn_idx,BB240,CC240,DD240),"")</f>
        <v>0</v>
      </c>
      <c r="AA93" s="1"/>
      <c r="AB93" s="65">
        <f>IF(OR(act_view_idx=2,act_view_idx=4),CHOOSE(act_scn_idx,BC240,CD240,DE240),"")</f>
        <v>0</v>
      </c>
      <c r="AC93" s="65">
        <f>IF(AND(OR(act_view_idx=2,act_view_idx=4),act_horizon_n&gt;=24),CHOOSE(act_scn_idx,BD240,CE240,DF240),"")</f>
        <v>0</v>
      </c>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c r="DH93"/>
    </row>
    <row r="94" spans="1:112" ht="20" customHeight="1" x14ac:dyDescent="0.2">
      <c r="A94" s="1"/>
      <c r="B94" s="61" t="str">
        <f>IF(OR(act_view_idx=2,act_view_idx=4),"FINANCING CASH FLOW","")</f>
        <v>FINANCING CASH FLOW</v>
      </c>
      <c r="C94" s="2"/>
      <c r="D94" s="2"/>
      <c r="E94" s="2"/>
      <c r="F94" s="2"/>
      <c r="G94" s="2"/>
      <c r="H94" s="2"/>
      <c r="I94" s="2"/>
      <c r="J94" s="2"/>
      <c r="K94" s="2"/>
      <c r="L94" s="2"/>
      <c r="M94" s="2"/>
      <c r="N94" s="2"/>
      <c r="O94" s="2"/>
      <c r="P94" s="2"/>
      <c r="Q94" s="2"/>
      <c r="R94" s="2"/>
      <c r="S94" s="2"/>
      <c r="T94" s="2"/>
      <c r="U94" s="2"/>
      <c r="V94" s="2"/>
      <c r="W94" s="2"/>
      <c r="X94" s="2"/>
      <c r="Y94" s="2"/>
      <c r="Z94" s="2"/>
      <c r="AA94" s="1"/>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c r="DH94"/>
    </row>
    <row r="95" spans="1:112" ht="20" customHeight="1" x14ac:dyDescent="0.2">
      <c r="A95" s="1"/>
      <c r="B95" s="22" t="str">
        <f>IF(OR(act_view_idx=2,act_view_idx=4),"   + Debt drawdowns","")</f>
        <v xml:space="preserve">   + Debt drawdowns</v>
      </c>
      <c r="C95" s="62">
        <f>IF(AND(OR(act_view_idx=2,act_view_idx=4),1&lt;=act_horizon_n),CHOOSE(act_scn_idx,AE241,BF241,CG241),"")</f>
        <v>0</v>
      </c>
      <c r="D95" s="62">
        <f>IF(AND(OR(act_view_idx=2,act_view_idx=4),2&lt;=act_horizon_n),CHOOSE(act_scn_idx,AF241,BG241,CH241),"")</f>
        <v>0</v>
      </c>
      <c r="E95" s="62">
        <f>IF(AND(OR(act_view_idx=2,act_view_idx=4),3&lt;=act_horizon_n),CHOOSE(act_scn_idx,AG241,BH241,CI241),"")</f>
        <v>0</v>
      </c>
      <c r="F95" s="62">
        <f>IF(AND(OR(act_view_idx=2,act_view_idx=4),4&lt;=act_horizon_n),CHOOSE(act_scn_idx,AH241,BI241,CJ241),"")</f>
        <v>0</v>
      </c>
      <c r="G95" s="62">
        <f>IF(AND(OR(act_view_idx=2,act_view_idx=4),5&lt;=act_horizon_n),CHOOSE(act_scn_idx,AI241,BJ241,CK241),"")</f>
        <v>0</v>
      </c>
      <c r="H95" s="62">
        <f>IF(AND(OR(act_view_idx=2,act_view_idx=4),6&lt;=act_horizon_n),CHOOSE(act_scn_idx,AJ241,BK241,CL241),"")</f>
        <v>0</v>
      </c>
      <c r="I95" s="62">
        <f>IF(AND(OR(act_view_idx=2,act_view_idx=4),7&lt;=act_horizon_n),CHOOSE(act_scn_idx,AK241,BL241,CM241),"")</f>
        <v>0</v>
      </c>
      <c r="J95" s="62">
        <f>IF(AND(OR(act_view_idx=2,act_view_idx=4),8&lt;=act_horizon_n),CHOOSE(act_scn_idx,AL241,BM241,CN241),"")</f>
        <v>0</v>
      </c>
      <c r="K95" s="62">
        <f>IF(AND(OR(act_view_idx=2,act_view_idx=4),9&lt;=act_horizon_n),CHOOSE(act_scn_idx,AM241,BN241,CO241),"")</f>
        <v>0</v>
      </c>
      <c r="L95" s="62">
        <f>IF(AND(OR(act_view_idx=2,act_view_idx=4),10&lt;=act_horizon_n),CHOOSE(act_scn_idx,AN241,BO241,CP241),"")</f>
        <v>0</v>
      </c>
      <c r="M95" s="62">
        <f>IF(AND(OR(act_view_idx=2,act_view_idx=4),11&lt;=act_horizon_n),CHOOSE(act_scn_idx,AO241,BP241,CQ241),"")</f>
        <v>0</v>
      </c>
      <c r="N95" s="62">
        <f>IF(AND(OR(act_view_idx=2,act_view_idx=4),12&lt;=act_horizon_n),CHOOSE(act_scn_idx,AP241,BQ241,CR241),"")</f>
        <v>0</v>
      </c>
      <c r="O95" s="62">
        <f>IF(AND(OR(act_view_idx=2,act_view_idx=4),13&lt;=act_horizon_n),CHOOSE(act_scn_idx,AQ241,BR241,CS241),"")</f>
        <v>0</v>
      </c>
      <c r="P95" s="62">
        <f>IF(AND(OR(act_view_idx=2,act_view_idx=4),14&lt;=act_horizon_n),CHOOSE(act_scn_idx,AR241,BS241,CT241),"")</f>
        <v>0</v>
      </c>
      <c r="Q95" s="62">
        <f>IF(AND(OR(act_view_idx=2,act_view_idx=4),15&lt;=act_horizon_n),CHOOSE(act_scn_idx,AS241,BT241,CU241),"")</f>
        <v>0</v>
      </c>
      <c r="R95" s="62">
        <f>IF(AND(OR(act_view_idx=2,act_view_idx=4),16&lt;=act_horizon_n),CHOOSE(act_scn_idx,AT241,BU241,CV241),"")</f>
        <v>0</v>
      </c>
      <c r="S95" s="62">
        <f>IF(AND(OR(act_view_idx=2,act_view_idx=4),17&lt;=act_horizon_n),CHOOSE(act_scn_idx,AU241,BV241,CW241),"")</f>
        <v>0</v>
      </c>
      <c r="T95" s="62">
        <f>IF(AND(OR(act_view_idx=2,act_view_idx=4),18&lt;=act_horizon_n),CHOOSE(act_scn_idx,AV241,BW241,CX241),"")</f>
        <v>0</v>
      </c>
      <c r="U95" s="62">
        <f>IF(AND(OR(act_view_idx=2,act_view_idx=4),19&lt;=act_horizon_n),CHOOSE(act_scn_idx,AW241,BX241,CY241),"")</f>
        <v>0</v>
      </c>
      <c r="V95" s="62">
        <f>IF(AND(OR(act_view_idx=2,act_view_idx=4),20&lt;=act_horizon_n),CHOOSE(act_scn_idx,AX241,BY241,CZ241),"")</f>
        <v>0</v>
      </c>
      <c r="W95" s="62">
        <f>IF(AND(OR(act_view_idx=2,act_view_idx=4),21&lt;=act_horizon_n),CHOOSE(act_scn_idx,AY241,BZ241,DA241),"")</f>
        <v>0</v>
      </c>
      <c r="X95" s="62">
        <f>IF(AND(OR(act_view_idx=2,act_view_idx=4),22&lt;=act_horizon_n),CHOOSE(act_scn_idx,AZ241,CA241,DB241),"")</f>
        <v>0</v>
      </c>
      <c r="Y95" s="62">
        <f>IF(AND(OR(act_view_idx=2,act_view_idx=4),23&lt;=act_horizon_n),CHOOSE(act_scn_idx,BA241,CB241,DC241),"")</f>
        <v>0</v>
      </c>
      <c r="Z95" s="62">
        <f>IF(AND(OR(act_view_idx=2,act_view_idx=4),24&lt;=act_horizon_n),CHOOSE(act_scn_idx,BB241,CC241,DD241),"")</f>
        <v>0</v>
      </c>
      <c r="AA95" s="1"/>
      <c r="AB95" s="63">
        <f>IF(OR(act_view_idx=2,act_view_idx=4),CHOOSE(act_scn_idx,BC241,CD241,DE241),"")</f>
        <v>0</v>
      </c>
      <c r="AC95" s="63">
        <f>IF(AND(OR(act_view_idx=2,act_view_idx=4),act_horizon_n&gt;=24),CHOOSE(act_scn_idx,BD241,CE241,DF241),"")</f>
        <v>0</v>
      </c>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c r="DH95"/>
    </row>
    <row r="96" spans="1:112" ht="20" customHeight="1" x14ac:dyDescent="0.2">
      <c r="A96" s="1"/>
      <c r="B96" s="22" t="str">
        <f>IF(OR(act_view_idx=2,act_view_idx=4),"   − Debt principal repayments","")</f>
        <v xml:space="preserve">   − Debt principal repayments</v>
      </c>
      <c r="C96" s="62">
        <f>IF(AND(OR(act_view_idx=2,act_view_idx=4),1&lt;=act_horizon_n),CHOOSE(act_scn_idx,(-AE242),(-BF242),(-CG242)),"")</f>
        <v>0</v>
      </c>
      <c r="D96" s="62">
        <f>IF(AND(OR(act_view_idx=2,act_view_idx=4),2&lt;=act_horizon_n),CHOOSE(act_scn_idx,(-AF242),(-BG242),(-CH242)),"")</f>
        <v>0</v>
      </c>
      <c r="E96" s="62">
        <f>IF(AND(OR(act_view_idx=2,act_view_idx=4),3&lt;=act_horizon_n),CHOOSE(act_scn_idx,(-AG242),(-BH242),(-CI242)),"")</f>
        <v>0</v>
      </c>
      <c r="F96" s="62">
        <f>IF(AND(OR(act_view_idx=2,act_view_idx=4),4&lt;=act_horizon_n),CHOOSE(act_scn_idx,(-AH242),(-BI242),(-CJ242)),"")</f>
        <v>0</v>
      </c>
      <c r="G96" s="62">
        <f>IF(AND(OR(act_view_idx=2,act_view_idx=4),5&lt;=act_horizon_n),CHOOSE(act_scn_idx,(-AI242),(-BJ242),(-CK242)),"")</f>
        <v>0</v>
      </c>
      <c r="H96" s="62">
        <f>IF(AND(OR(act_view_idx=2,act_view_idx=4),6&lt;=act_horizon_n),CHOOSE(act_scn_idx,(-AJ242),(-BK242),(-CL242)),"")</f>
        <v>0</v>
      </c>
      <c r="I96" s="62">
        <f>IF(AND(OR(act_view_idx=2,act_view_idx=4),7&lt;=act_horizon_n),CHOOSE(act_scn_idx,(-AK242),(-BL242),(-CM242)),"")</f>
        <v>0</v>
      </c>
      <c r="J96" s="62">
        <f>IF(AND(OR(act_view_idx=2,act_view_idx=4),8&lt;=act_horizon_n),CHOOSE(act_scn_idx,(-AL242),(-BM242),(-CN242)),"")</f>
        <v>0</v>
      </c>
      <c r="K96" s="62">
        <f>IF(AND(OR(act_view_idx=2,act_view_idx=4),9&lt;=act_horizon_n),CHOOSE(act_scn_idx,(-AM242),(-BN242),(-CO242)),"")</f>
        <v>0</v>
      </c>
      <c r="L96" s="62">
        <f>IF(AND(OR(act_view_idx=2,act_view_idx=4),10&lt;=act_horizon_n),CHOOSE(act_scn_idx,(-AN242),(-BO242),(-CP242)),"")</f>
        <v>0</v>
      </c>
      <c r="M96" s="62">
        <f>IF(AND(OR(act_view_idx=2,act_view_idx=4),11&lt;=act_horizon_n),CHOOSE(act_scn_idx,(-AO242),(-BP242),(-CQ242)),"")</f>
        <v>0</v>
      </c>
      <c r="N96" s="62">
        <f>IF(AND(OR(act_view_idx=2,act_view_idx=4),12&lt;=act_horizon_n),CHOOSE(act_scn_idx,(-AP242),(-BQ242),(-CR242)),"")</f>
        <v>0</v>
      </c>
      <c r="O96" s="62">
        <f>IF(AND(OR(act_view_idx=2,act_view_idx=4),13&lt;=act_horizon_n),CHOOSE(act_scn_idx,(-AQ242),(-BR242),(-CS242)),"")</f>
        <v>0</v>
      </c>
      <c r="P96" s="62">
        <f>IF(AND(OR(act_view_idx=2,act_view_idx=4),14&lt;=act_horizon_n),CHOOSE(act_scn_idx,(-AR242),(-BS242),(-CT242)),"")</f>
        <v>0</v>
      </c>
      <c r="Q96" s="62">
        <f>IF(AND(OR(act_view_idx=2,act_view_idx=4),15&lt;=act_horizon_n),CHOOSE(act_scn_idx,(-AS242),(-BT242),(-CU242)),"")</f>
        <v>0</v>
      </c>
      <c r="R96" s="62">
        <f>IF(AND(OR(act_view_idx=2,act_view_idx=4),16&lt;=act_horizon_n),CHOOSE(act_scn_idx,(-AT242),(-BU242),(-CV242)),"")</f>
        <v>0</v>
      </c>
      <c r="S96" s="62">
        <f>IF(AND(OR(act_view_idx=2,act_view_idx=4),17&lt;=act_horizon_n),CHOOSE(act_scn_idx,(-AU242),(-BV242),(-CW242)),"")</f>
        <v>0</v>
      </c>
      <c r="T96" s="62">
        <f>IF(AND(OR(act_view_idx=2,act_view_idx=4),18&lt;=act_horizon_n),CHOOSE(act_scn_idx,(-AV242),(-BW242),(-CX242)),"")</f>
        <v>0</v>
      </c>
      <c r="U96" s="62">
        <f>IF(AND(OR(act_view_idx=2,act_view_idx=4),19&lt;=act_horizon_n),CHOOSE(act_scn_idx,(-AW242),(-BX242),(-CY242)),"")</f>
        <v>0</v>
      </c>
      <c r="V96" s="62">
        <f>IF(AND(OR(act_view_idx=2,act_view_idx=4),20&lt;=act_horizon_n),CHOOSE(act_scn_idx,(-AX242),(-BY242),(-CZ242)),"")</f>
        <v>0</v>
      </c>
      <c r="W96" s="62">
        <f>IF(AND(OR(act_view_idx=2,act_view_idx=4),21&lt;=act_horizon_n),CHOOSE(act_scn_idx,(-AY242),(-BZ242),(-DA242)),"")</f>
        <v>0</v>
      </c>
      <c r="X96" s="62">
        <f>IF(AND(OR(act_view_idx=2,act_view_idx=4),22&lt;=act_horizon_n),CHOOSE(act_scn_idx,(-AZ242),(-CA242),(-DB242)),"")</f>
        <v>0</v>
      </c>
      <c r="Y96" s="62">
        <f>IF(AND(OR(act_view_idx=2,act_view_idx=4),23&lt;=act_horizon_n),CHOOSE(act_scn_idx,(-BA242),(-CB242),(-DC242)),"")</f>
        <v>0</v>
      </c>
      <c r="Z96" s="62">
        <f>IF(AND(OR(act_view_idx=2,act_view_idx=4),24&lt;=act_horizon_n),CHOOSE(act_scn_idx,(-BB242),(-CC242),(-DD242)),"")</f>
        <v>0</v>
      </c>
      <c r="AA96" s="1"/>
      <c r="AB96" s="63">
        <f>IF(OR(act_view_idx=2,act_view_idx=4),CHOOSE(act_scn_idx,(-BC242),(-CD242),(-DE242)),"")</f>
        <v>0</v>
      </c>
      <c r="AC96" s="63">
        <f>IF(AND(OR(act_view_idx=2,act_view_idx=4),act_horizon_n&gt;=24),CHOOSE(act_scn_idx,(-BD242),(-CE242),(-DF242)),"")</f>
        <v>0</v>
      </c>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c r="DH96"/>
    </row>
    <row r="97" spans="1:112" ht="20" customHeight="1" x14ac:dyDescent="0.2">
      <c r="A97" s="1"/>
      <c r="B97" s="22" t="str">
        <f>IF(OR(act_view_idx=2,act_view_idx=4),"   − Owner distributions","")</f>
        <v xml:space="preserve">   − Owner distributions</v>
      </c>
      <c r="C97" s="62">
        <f>IF(AND(OR(act_view_idx=2,act_view_idx=4),1&lt;=act_horizon_n),CHOOSE(act_scn_idx,(-AE243),(-BF243),(-CG243)),"")</f>
        <v>0</v>
      </c>
      <c r="D97" s="62">
        <f>IF(AND(OR(act_view_idx=2,act_view_idx=4),2&lt;=act_horizon_n),CHOOSE(act_scn_idx,(-AF243),(-BG243),(-CH243)),"")</f>
        <v>0</v>
      </c>
      <c r="E97" s="62">
        <f>IF(AND(OR(act_view_idx=2,act_view_idx=4),3&lt;=act_horizon_n),CHOOSE(act_scn_idx,(-AG243),(-BH243),(-CI243)),"")</f>
        <v>0</v>
      </c>
      <c r="F97" s="62">
        <f>IF(AND(OR(act_view_idx=2,act_view_idx=4),4&lt;=act_horizon_n),CHOOSE(act_scn_idx,(-AH243),(-BI243),(-CJ243)),"")</f>
        <v>0</v>
      </c>
      <c r="G97" s="62">
        <f>IF(AND(OR(act_view_idx=2,act_view_idx=4),5&lt;=act_horizon_n),CHOOSE(act_scn_idx,(-AI243),(-BJ243),(-CK243)),"")</f>
        <v>0</v>
      </c>
      <c r="H97" s="62">
        <f>IF(AND(OR(act_view_idx=2,act_view_idx=4),6&lt;=act_horizon_n),CHOOSE(act_scn_idx,(-AJ243),(-BK243),(-CL243)),"")</f>
        <v>0</v>
      </c>
      <c r="I97" s="62">
        <f>IF(AND(OR(act_view_idx=2,act_view_idx=4),7&lt;=act_horizon_n),CHOOSE(act_scn_idx,(-AK243),(-BL243),(-CM243)),"")</f>
        <v>0</v>
      </c>
      <c r="J97" s="62">
        <f>IF(AND(OR(act_view_idx=2,act_view_idx=4),8&lt;=act_horizon_n),CHOOSE(act_scn_idx,(-AL243),(-BM243),(-CN243)),"")</f>
        <v>0</v>
      </c>
      <c r="K97" s="62">
        <f>IF(AND(OR(act_view_idx=2,act_view_idx=4),9&lt;=act_horizon_n),CHOOSE(act_scn_idx,(-AM243),(-BN243),(-CO243)),"")</f>
        <v>0</v>
      </c>
      <c r="L97" s="62">
        <f>IF(AND(OR(act_view_idx=2,act_view_idx=4),10&lt;=act_horizon_n),CHOOSE(act_scn_idx,(-AN243),(-BO243),(-CP243)),"")</f>
        <v>0</v>
      </c>
      <c r="M97" s="62">
        <f>IF(AND(OR(act_view_idx=2,act_view_idx=4),11&lt;=act_horizon_n),CHOOSE(act_scn_idx,(-AO243),(-BP243),(-CQ243)),"")</f>
        <v>0</v>
      </c>
      <c r="N97" s="62">
        <f>IF(AND(OR(act_view_idx=2,act_view_idx=4),12&lt;=act_horizon_n),CHOOSE(act_scn_idx,(-AP243),(-BQ243),(-CR243)),"")</f>
        <v>0</v>
      </c>
      <c r="O97" s="62">
        <f>IF(AND(OR(act_view_idx=2,act_view_idx=4),13&lt;=act_horizon_n),CHOOSE(act_scn_idx,(-AQ243),(-BR243),(-CS243)),"")</f>
        <v>0</v>
      </c>
      <c r="P97" s="62">
        <f>IF(AND(OR(act_view_idx=2,act_view_idx=4),14&lt;=act_horizon_n),CHOOSE(act_scn_idx,(-AR243),(-BS243),(-CT243)),"")</f>
        <v>0</v>
      </c>
      <c r="Q97" s="62">
        <f>IF(AND(OR(act_view_idx=2,act_view_idx=4),15&lt;=act_horizon_n),CHOOSE(act_scn_idx,(-AS243),(-BT243),(-CU243)),"")</f>
        <v>0</v>
      </c>
      <c r="R97" s="62">
        <f>IF(AND(OR(act_view_idx=2,act_view_idx=4),16&lt;=act_horizon_n),CHOOSE(act_scn_idx,(-AT243),(-BU243),(-CV243)),"")</f>
        <v>0</v>
      </c>
      <c r="S97" s="62">
        <f>IF(AND(OR(act_view_idx=2,act_view_idx=4),17&lt;=act_horizon_n),CHOOSE(act_scn_idx,(-AU243),(-BV243),(-CW243)),"")</f>
        <v>0</v>
      </c>
      <c r="T97" s="62">
        <f>IF(AND(OR(act_view_idx=2,act_view_idx=4),18&lt;=act_horizon_n),CHOOSE(act_scn_idx,(-AV243),(-BW243),(-CX243)),"")</f>
        <v>0</v>
      </c>
      <c r="U97" s="62">
        <f>IF(AND(OR(act_view_idx=2,act_view_idx=4),19&lt;=act_horizon_n),CHOOSE(act_scn_idx,(-AW243),(-BX243),(-CY243)),"")</f>
        <v>0</v>
      </c>
      <c r="V97" s="62">
        <f>IF(AND(OR(act_view_idx=2,act_view_idx=4),20&lt;=act_horizon_n),CHOOSE(act_scn_idx,(-AX243),(-BY243),(-CZ243)),"")</f>
        <v>0</v>
      </c>
      <c r="W97" s="62">
        <f>IF(AND(OR(act_view_idx=2,act_view_idx=4),21&lt;=act_horizon_n),CHOOSE(act_scn_idx,(-AY243),(-BZ243),(-DA243)),"")</f>
        <v>0</v>
      </c>
      <c r="X97" s="62">
        <f>IF(AND(OR(act_view_idx=2,act_view_idx=4),22&lt;=act_horizon_n),CHOOSE(act_scn_idx,(-AZ243),(-CA243),(-DB243)),"")</f>
        <v>0</v>
      </c>
      <c r="Y97" s="62">
        <f>IF(AND(OR(act_view_idx=2,act_view_idx=4),23&lt;=act_horizon_n),CHOOSE(act_scn_idx,(-BA243),(-CB243),(-DC243)),"")</f>
        <v>0</v>
      </c>
      <c r="Z97" s="62">
        <f>IF(AND(OR(act_view_idx=2,act_view_idx=4),24&lt;=act_horizon_n),CHOOSE(act_scn_idx,(-BB243),(-CC243),(-DD243)),"")</f>
        <v>0</v>
      </c>
      <c r="AA97" s="1"/>
      <c r="AB97" s="63">
        <f>IF(OR(act_view_idx=2,act_view_idx=4),CHOOSE(act_scn_idx,(-BC243),(-CD243),(-DE243)),"")</f>
        <v>0</v>
      </c>
      <c r="AC97" s="63">
        <f>IF(AND(OR(act_view_idx=2,act_view_idx=4),act_horizon_n&gt;=24),CHOOSE(act_scn_idx,(-BD243),(-CE243),(-DF243)),"")</f>
        <v>0</v>
      </c>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c r="DH97"/>
    </row>
    <row r="98" spans="1:112" ht="20" customHeight="1" x14ac:dyDescent="0.2">
      <c r="A98" s="1"/>
      <c r="B98" s="22" t="str">
        <f>IF(OR(act_view_idx=2,act_view_idx=4),"   + Equity contributions","")</f>
        <v xml:space="preserve">   + Equity contributions</v>
      </c>
      <c r="C98" s="62">
        <f>IF(AND(OR(act_view_idx=2,act_view_idx=4),1&lt;=act_horizon_n),CHOOSE(act_scn_idx,AE244,BF244,CG244),"")</f>
        <v>0</v>
      </c>
      <c r="D98" s="62">
        <f>IF(AND(OR(act_view_idx=2,act_view_idx=4),2&lt;=act_horizon_n),CHOOSE(act_scn_idx,AF244,BG244,CH244),"")</f>
        <v>0</v>
      </c>
      <c r="E98" s="62">
        <f>IF(AND(OR(act_view_idx=2,act_view_idx=4),3&lt;=act_horizon_n),CHOOSE(act_scn_idx,AG244,BH244,CI244),"")</f>
        <v>0</v>
      </c>
      <c r="F98" s="62">
        <f>IF(AND(OR(act_view_idx=2,act_view_idx=4),4&lt;=act_horizon_n),CHOOSE(act_scn_idx,AH244,BI244,CJ244),"")</f>
        <v>0</v>
      </c>
      <c r="G98" s="62">
        <f>IF(AND(OR(act_view_idx=2,act_view_idx=4),5&lt;=act_horizon_n),CHOOSE(act_scn_idx,AI244,BJ244,CK244),"")</f>
        <v>0</v>
      </c>
      <c r="H98" s="62">
        <f>IF(AND(OR(act_view_idx=2,act_view_idx=4),6&lt;=act_horizon_n),CHOOSE(act_scn_idx,AJ244,BK244,CL244),"")</f>
        <v>0</v>
      </c>
      <c r="I98" s="62">
        <f>IF(AND(OR(act_view_idx=2,act_view_idx=4),7&lt;=act_horizon_n),CHOOSE(act_scn_idx,AK244,BL244,CM244),"")</f>
        <v>0</v>
      </c>
      <c r="J98" s="62">
        <f>IF(AND(OR(act_view_idx=2,act_view_idx=4),8&lt;=act_horizon_n),CHOOSE(act_scn_idx,AL244,BM244,CN244),"")</f>
        <v>0</v>
      </c>
      <c r="K98" s="62">
        <f>IF(AND(OR(act_view_idx=2,act_view_idx=4),9&lt;=act_horizon_n),CHOOSE(act_scn_idx,AM244,BN244,CO244),"")</f>
        <v>0</v>
      </c>
      <c r="L98" s="62">
        <f>IF(AND(OR(act_view_idx=2,act_view_idx=4),10&lt;=act_horizon_n),CHOOSE(act_scn_idx,AN244,BO244,CP244),"")</f>
        <v>0</v>
      </c>
      <c r="M98" s="62">
        <f>IF(AND(OR(act_view_idx=2,act_view_idx=4),11&lt;=act_horizon_n),CHOOSE(act_scn_idx,AO244,BP244,CQ244),"")</f>
        <v>0</v>
      </c>
      <c r="N98" s="62">
        <f>IF(AND(OR(act_view_idx=2,act_view_idx=4),12&lt;=act_horizon_n),CHOOSE(act_scn_idx,AP244,BQ244,CR244),"")</f>
        <v>0</v>
      </c>
      <c r="O98" s="62">
        <f>IF(AND(OR(act_view_idx=2,act_view_idx=4),13&lt;=act_horizon_n),CHOOSE(act_scn_idx,AQ244,BR244,CS244),"")</f>
        <v>0</v>
      </c>
      <c r="P98" s="62">
        <f>IF(AND(OR(act_view_idx=2,act_view_idx=4),14&lt;=act_horizon_n),CHOOSE(act_scn_idx,AR244,BS244,CT244),"")</f>
        <v>0</v>
      </c>
      <c r="Q98" s="62">
        <f>IF(AND(OR(act_view_idx=2,act_view_idx=4),15&lt;=act_horizon_n),CHOOSE(act_scn_idx,AS244,BT244,CU244),"")</f>
        <v>0</v>
      </c>
      <c r="R98" s="62">
        <f>IF(AND(OR(act_view_idx=2,act_view_idx=4),16&lt;=act_horizon_n),CHOOSE(act_scn_idx,AT244,BU244,CV244),"")</f>
        <v>0</v>
      </c>
      <c r="S98" s="62">
        <f>IF(AND(OR(act_view_idx=2,act_view_idx=4),17&lt;=act_horizon_n),CHOOSE(act_scn_idx,AU244,BV244,CW244),"")</f>
        <v>0</v>
      </c>
      <c r="T98" s="62">
        <f>IF(AND(OR(act_view_idx=2,act_view_idx=4),18&lt;=act_horizon_n),CHOOSE(act_scn_idx,AV244,BW244,CX244),"")</f>
        <v>0</v>
      </c>
      <c r="U98" s="62">
        <f>IF(AND(OR(act_view_idx=2,act_view_idx=4),19&lt;=act_horizon_n),CHOOSE(act_scn_idx,AW244,BX244,CY244),"")</f>
        <v>0</v>
      </c>
      <c r="V98" s="62">
        <f>IF(AND(OR(act_view_idx=2,act_view_idx=4),20&lt;=act_horizon_n),CHOOSE(act_scn_idx,AX244,BY244,CZ244),"")</f>
        <v>0</v>
      </c>
      <c r="W98" s="62">
        <f>IF(AND(OR(act_view_idx=2,act_view_idx=4),21&lt;=act_horizon_n),CHOOSE(act_scn_idx,AY244,BZ244,DA244),"")</f>
        <v>0</v>
      </c>
      <c r="X98" s="62">
        <f>IF(AND(OR(act_view_idx=2,act_view_idx=4),22&lt;=act_horizon_n),CHOOSE(act_scn_idx,AZ244,CA244,DB244),"")</f>
        <v>0</v>
      </c>
      <c r="Y98" s="62">
        <f>IF(AND(OR(act_view_idx=2,act_view_idx=4),23&lt;=act_horizon_n),CHOOSE(act_scn_idx,BA244,CB244,DC244),"")</f>
        <v>0</v>
      </c>
      <c r="Z98" s="62">
        <f>IF(AND(OR(act_view_idx=2,act_view_idx=4),24&lt;=act_horizon_n),CHOOSE(act_scn_idx,BB244,CC244,DD244),"")</f>
        <v>0</v>
      </c>
      <c r="AA98" s="1"/>
      <c r="AB98" s="63">
        <f>IF(OR(act_view_idx=2,act_view_idx=4),CHOOSE(act_scn_idx,BC244,CD244,DE244),"")</f>
        <v>0</v>
      </c>
      <c r="AC98" s="63">
        <f>IF(AND(OR(act_view_idx=2,act_view_idx=4),act_horizon_n&gt;=24),CHOOSE(act_scn_idx,BD244,CE244,DF244),"")</f>
        <v>0</v>
      </c>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c r="DH98"/>
    </row>
    <row r="99" spans="1:112" ht="20" customHeight="1" x14ac:dyDescent="0.2">
      <c r="A99" s="1"/>
      <c r="B99" s="64" t="str">
        <f>IF(OR(act_view_idx=2,act_view_idx=4),"Financing cash flow","")</f>
        <v>Financing cash flow</v>
      </c>
      <c r="C99" s="65">
        <f>IF(AND(OR(act_view_idx=2,act_view_idx=4),1&lt;=act_horizon_n),CHOOSE(act_scn_idx,AE245,BF245,CG245),"")</f>
        <v>0</v>
      </c>
      <c r="D99" s="65">
        <f>IF(AND(OR(act_view_idx=2,act_view_idx=4),2&lt;=act_horizon_n),CHOOSE(act_scn_idx,AF245,BG245,CH245),"")</f>
        <v>0</v>
      </c>
      <c r="E99" s="65">
        <f>IF(AND(OR(act_view_idx=2,act_view_idx=4),3&lt;=act_horizon_n),CHOOSE(act_scn_idx,AG245,BH245,CI245),"")</f>
        <v>0</v>
      </c>
      <c r="F99" s="65">
        <f>IF(AND(OR(act_view_idx=2,act_view_idx=4),4&lt;=act_horizon_n),CHOOSE(act_scn_idx,AH245,BI245,CJ245),"")</f>
        <v>0</v>
      </c>
      <c r="G99" s="65">
        <f>IF(AND(OR(act_view_idx=2,act_view_idx=4),5&lt;=act_horizon_n),CHOOSE(act_scn_idx,AI245,BJ245,CK245),"")</f>
        <v>0</v>
      </c>
      <c r="H99" s="65">
        <f>IF(AND(OR(act_view_idx=2,act_view_idx=4),6&lt;=act_horizon_n),CHOOSE(act_scn_idx,AJ245,BK245,CL245),"")</f>
        <v>0</v>
      </c>
      <c r="I99" s="65">
        <f>IF(AND(OR(act_view_idx=2,act_view_idx=4),7&lt;=act_horizon_n),CHOOSE(act_scn_idx,AK245,BL245,CM245),"")</f>
        <v>0</v>
      </c>
      <c r="J99" s="65">
        <f>IF(AND(OR(act_view_idx=2,act_view_idx=4),8&lt;=act_horizon_n),CHOOSE(act_scn_idx,AL245,BM245,CN245),"")</f>
        <v>0</v>
      </c>
      <c r="K99" s="65">
        <f>IF(AND(OR(act_view_idx=2,act_view_idx=4),9&lt;=act_horizon_n),CHOOSE(act_scn_idx,AM245,BN245,CO245),"")</f>
        <v>0</v>
      </c>
      <c r="L99" s="65">
        <f>IF(AND(OR(act_view_idx=2,act_view_idx=4),10&lt;=act_horizon_n),CHOOSE(act_scn_idx,AN245,BO245,CP245),"")</f>
        <v>0</v>
      </c>
      <c r="M99" s="65">
        <f>IF(AND(OR(act_view_idx=2,act_view_idx=4),11&lt;=act_horizon_n),CHOOSE(act_scn_idx,AO245,BP245,CQ245),"")</f>
        <v>0</v>
      </c>
      <c r="N99" s="65">
        <f>IF(AND(OR(act_view_idx=2,act_view_idx=4),12&lt;=act_horizon_n),CHOOSE(act_scn_idx,AP245,BQ245,CR245),"")</f>
        <v>0</v>
      </c>
      <c r="O99" s="65">
        <f>IF(AND(OR(act_view_idx=2,act_view_idx=4),13&lt;=act_horizon_n),CHOOSE(act_scn_idx,AQ245,BR245,CS245),"")</f>
        <v>0</v>
      </c>
      <c r="P99" s="65">
        <f>IF(AND(OR(act_view_idx=2,act_view_idx=4),14&lt;=act_horizon_n),CHOOSE(act_scn_idx,AR245,BS245,CT245),"")</f>
        <v>0</v>
      </c>
      <c r="Q99" s="65">
        <f>IF(AND(OR(act_view_idx=2,act_view_idx=4),15&lt;=act_horizon_n),CHOOSE(act_scn_idx,AS245,BT245,CU245),"")</f>
        <v>0</v>
      </c>
      <c r="R99" s="65">
        <f>IF(AND(OR(act_view_idx=2,act_view_idx=4),16&lt;=act_horizon_n),CHOOSE(act_scn_idx,AT245,BU245,CV245),"")</f>
        <v>0</v>
      </c>
      <c r="S99" s="65">
        <f>IF(AND(OR(act_view_idx=2,act_view_idx=4),17&lt;=act_horizon_n),CHOOSE(act_scn_idx,AU245,BV245,CW245),"")</f>
        <v>0</v>
      </c>
      <c r="T99" s="65">
        <f>IF(AND(OR(act_view_idx=2,act_view_idx=4),18&lt;=act_horizon_n),CHOOSE(act_scn_idx,AV245,BW245,CX245),"")</f>
        <v>0</v>
      </c>
      <c r="U99" s="65">
        <f>IF(AND(OR(act_view_idx=2,act_view_idx=4),19&lt;=act_horizon_n),CHOOSE(act_scn_idx,AW245,BX245,CY245),"")</f>
        <v>0</v>
      </c>
      <c r="V99" s="65">
        <f>IF(AND(OR(act_view_idx=2,act_view_idx=4),20&lt;=act_horizon_n),CHOOSE(act_scn_idx,AX245,BY245,CZ245),"")</f>
        <v>0</v>
      </c>
      <c r="W99" s="65">
        <f>IF(AND(OR(act_view_idx=2,act_view_idx=4),21&lt;=act_horizon_n),CHOOSE(act_scn_idx,AY245,BZ245,DA245),"")</f>
        <v>0</v>
      </c>
      <c r="X99" s="65">
        <f>IF(AND(OR(act_view_idx=2,act_view_idx=4),22&lt;=act_horizon_n),CHOOSE(act_scn_idx,AZ245,CA245,DB245),"")</f>
        <v>0</v>
      </c>
      <c r="Y99" s="65">
        <f>IF(AND(OR(act_view_idx=2,act_view_idx=4),23&lt;=act_horizon_n),CHOOSE(act_scn_idx,BA245,CB245,DC245),"")</f>
        <v>0</v>
      </c>
      <c r="Z99" s="65">
        <f>IF(AND(OR(act_view_idx=2,act_view_idx=4),24&lt;=act_horizon_n),CHOOSE(act_scn_idx,BB245,CC245,DD245),"")</f>
        <v>0</v>
      </c>
      <c r="AA99" s="1"/>
      <c r="AB99" s="65">
        <f>IF(OR(act_view_idx=2,act_view_idx=4),CHOOSE(act_scn_idx,BC245,CD245,DE245),"")</f>
        <v>0</v>
      </c>
      <c r="AC99" s="65">
        <f>IF(AND(OR(act_view_idx=2,act_view_idx=4),act_horizon_n&gt;=24),CHOOSE(act_scn_idx,BD245,CE245,DF245),"")</f>
        <v>0</v>
      </c>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c r="DH99"/>
    </row>
    <row r="100" spans="1:112" ht="20" customHeight="1" x14ac:dyDescent="0.2">
      <c r="A100" s="1"/>
      <c r="B100" s="66" t="str">
        <f>IF(OR(act_view_idx=2,act_view_idx=4),"NET CHANGE IN CASH","")</f>
        <v>NET CHANGE IN CASH</v>
      </c>
      <c r="C100" s="67">
        <f>IF(AND(OR(act_view_idx=2,act_view_idx=4),1&lt;=act_horizon_n),CHOOSE(act_scn_idx,AE246,BF246,CG246),"")</f>
        <v>0</v>
      </c>
      <c r="D100" s="67">
        <f>IF(AND(OR(act_view_idx=2,act_view_idx=4),2&lt;=act_horizon_n),CHOOSE(act_scn_idx,AF246,BG246,CH246),"")</f>
        <v>0</v>
      </c>
      <c r="E100" s="67">
        <f>IF(AND(OR(act_view_idx=2,act_view_idx=4),3&lt;=act_horizon_n),CHOOSE(act_scn_idx,AG246,BH246,CI246),"")</f>
        <v>0</v>
      </c>
      <c r="F100" s="67">
        <f>IF(AND(OR(act_view_idx=2,act_view_idx=4),4&lt;=act_horizon_n),CHOOSE(act_scn_idx,AH246,BI246,CJ246),"")</f>
        <v>0</v>
      </c>
      <c r="G100" s="67">
        <f>IF(AND(OR(act_view_idx=2,act_view_idx=4),5&lt;=act_horizon_n),CHOOSE(act_scn_idx,AI246,BJ246,CK246),"")</f>
        <v>0</v>
      </c>
      <c r="H100" s="67">
        <f>IF(AND(OR(act_view_idx=2,act_view_idx=4),6&lt;=act_horizon_n),CHOOSE(act_scn_idx,AJ246,BK246,CL246),"")</f>
        <v>0</v>
      </c>
      <c r="I100" s="67">
        <f>IF(AND(OR(act_view_idx=2,act_view_idx=4),7&lt;=act_horizon_n),CHOOSE(act_scn_idx,AK246,BL246,CM246),"")</f>
        <v>0</v>
      </c>
      <c r="J100" s="67">
        <f>IF(AND(OR(act_view_idx=2,act_view_idx=4),8&lt;=act_horizon_n),CHOOSE(act_scn_idx,AL246,BM246,CN246),"")</f>
        <v>0</v>
      </c>
      <c r="K100" s="67">
        <f>IF(AND(OR(act_view_idx=2,act_view_idx=4),9&lt;=act_horizon_n),CHOOSE(act_scn_idx,AM246,BN246,CO246),"")</f>
        <v>0</v>
      </c>
      <c r="L100" s="67">
        <f>IF(AND(OR(act_view_idx=2,act_view_idx=4),10&lt;=act_horizon_n),CHOOSE(act_scn_idx,AN246,BO246,CP246),"")</f>
        <v>0</v>
      </c>
      <c r="M100" s="67">
        <f>IF(AND(OR(act_view_idx=2,act_view_idx=4),11&lt;=act_horizon_n),CHOOSE(act_scn_idx,AO246,BP246,CQ246),"")</f>
        <v>0</v>
      </c>
      <c r="N100" s="67">
        <f>IF(AND(OR(act_view_idx=2,act_view_idx=4),12&lt;=act_horizon_n),CHOOSE(act_scn_idx,AP246,BQ246,CR246),"")</f>
        <v>0</v>
      </c>
      <c r="O100" s="67">
        <f>IF(AND(OR(act_view_idx=2,act_view_idx=4),13&lt;=act_horizon_n),CHOOSE(act_scn_idx,AQ246,BR246,CS246),"")</f>
        <v>0</v>
      </c>
      <c r="P100" s="67">
        <f>IF(AND(OR(act_view_idx=2,act_view_idx=4),14&lt;=act_horizon_n),CHOOSE(act_scn_idx,AR246,BS246,CT246),"")</f>
        <v>0</v>
      </c>
      <c r="Q100" s="67">
        <f>IF(AND(OR(act_view_idx=2,act_view_idx=4),15&lt;=act_horizon_n),CHOOSE(act_scn_idx,AS246,BT246,CU246),"")</f>
        <v>0</v>
      </c>
      <c r="R100" s="67">
        <f>IF(AND(OR(act_view_idx=2,act_view_idx=4),16&lt;=act_horizon_n),CHOOSE(act_scn_idx,AT246,BU246,CV246),"")</f>
        <v>0</v>
      </c>
      <c r="S100" s="67">
        <f>IF(AND(OR(act_view_idx=2,act_view_idx=4),17&lt;=act_horizon_n),CHOOSE(act_scn_idx,AU246,BV246,CW246),"")</f>
        <v>0</v>
      </c>
      <c r="T100" s="67">
        <f>IF(AND(OR(act_view_idx=2,act_view_idx=4),18&lt;=act_horizon_n),CHOOSE(act_scn_idx,AV246,BW246,CX246),"")</f>
        <v>0</v>
      </c>
      <c r="U100" s="67">
        <f>IF(AND(OR(act_view_idx=2,act_view_idx=4),19&lt;=act_horizon_n),CHOOSE(act_scn_idx,AW246,BX246,CY246),"")</f>
        <v>0</v>
      </c>
      <c r="V100" s="67">
        <f>IF(AND(OR(act_view_idx=2,act_view_idx=4),20&lt;=act_horizon_n),CHOOSE(act_scn_idx,AX246,BY246,CZ246),"")</f>
        <v>0</v>
      </c>
      <c r="W100" s="67">
        <f>IF(AND(OR(act_view_idx=2,act_view_idx=4),21&lt;=act_horizon_n),CHOOSE(act_scn_idx,AY246,BZ246,DA246),"")</f>
        <v>0</v>
      </c>
      <c r="X100" s="67">
        <f>IF(AND(OR(act_view_idx=2,act_view_idx=4),22&lt;=act_horizon_n),CHOOSE(act_scn_idx,AZ246,CA246,DB246),"")</f>
        <v>0</v>
      </c>
      <c r="Y100" s="67">
        <f>IF(AND(OR(act_view_idx=2,act_view_idx=4),23&lt;=act_horizon_n),CHOOSE(act_scn_idx,BA246,CB246,DC246),"")</f>
        <v>0</v>
      </c>
      <c r="Z100" s="67">
        <f>IF(AND(OR(act_view_idx=2,act_view_idx=4),24&lt;=act_horizon_n),CHOOSE(act_scn_idx,BB246,CC246,DD246),"")</f>
        <v>0</v>
      </c>
      <c r="AA100" s="1"/>
      <c r="AB100" s="67">
        <f>IF(OR(act_view_idx=2,act_view_idx=4),CHOOSE(act_scn_idx,BC246,CD246,DE246),"")</f>
        <v>0</v>
      </c>
      <c r="AC100" s="67">
        <f>IF(AND(OR(act_view_idx=2,act_view_idx=4),act_horizon_n&gt;=24),CHOOSE(act_scn_idx,BD246,CE246,DF246),"")</f>
        <v>0</v>
      </c>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c r="DH100"/>
    </row>
    <row r="101" spans="1:112" ht="20" customHeight="1" x14ac:dyDescent="0.2">
      <c r="A101" s="1"/>
      <c r="B101" s="22" t="str">
        <f>IF(OR(act_view_idx=2,act_view_idx=4),"   Opening cash","")</f>
        <v xml:space="preserve">   Opening cash</v>
      </c>
      <c r="C101" s="62">
        <f>IF(AND(OR(act_view_idx=2,act_view_idx=4),1&lt;=act_horizon_n),CHOOSE(act_scn_idx,AE247,BF247,CG247),"")</f>
        <v>0</v>
      </c>
      <c r="D101" s="62">
        <f>IF(AND(OR(act_view_idx=2,act_view_idx=4),2&lt;=act_horizon_n),CHOOSE(act_scn_idx,AF247,BG247,CH247),"")</f>
        <v>0</v>
      </c>
      <c r="E101" s="62">
        <f>IF(AND(OR(act_view_idx=2,act_view_idx=4),3&lt;=act_horizon_n),CHOOSE(act_scn_idx,AG247,BH247,CI247),"")</f>
        <v>0</v>
      </c>
      <c r="F101" s="62">
        <f>IF(AND(OR(act_view_idx=2,act_view_idx=4),4&lt;=act_horizon_n),CHOOSE(act_scn_idx,AH247,BI247,CJ247),"")</f>
        <v>0</v>
      </c>
      <c r="G101" s="62">
        <f>IF(AND(OR(act_view_idx=2,act_view_idx=4),5&lt;=act_horizon_n),CHOOSE(act_scn_idx,AI247,BJ247,CK247),"")</f>
        <v>0</v>
      </c>
      <c r="H101" s="62">
        <f>IF(AND(OR(act_view_idx=2,act_view_idx=4),6&lt;=act_horizon_n),CHOOSE(act_scn_idx,AJ247,BK247,CL247),"")</f>
        <v>0</v>
      </c>
      <c r="I101" s="62">
        <f>IF(AND(OR(act_view_idx=2,act_view_idx=4),7&lt;=act_horizon_n),CHOOSE(act_scn_idx,AK247,BL247,CM247),"")</f>
        <v>0</v>
      </c>
      <c r="J101" s="62">
        <f>IF(AND(OR(act_view_idx=2,act_view_idx=4),8&lt;=act_horizon_n),CHOOSE(act_scn_idx,AL247,BM247,CN247),"")</f>
        <v>0</v>
      </c>
      <c r="K101" s="62">
        <f>IF(AND(OR(act_view_idx=2,act_view_idx=4),9&lt;=act_horizon_n),CHOOSE(act_scn_idx,AM247,BN247,CO247),"")</f>
        <v>0</v>
      </c>
      <c r="L101" s="62">
        <f>IF(AND(OR(act_view_idx=2,act_view_idx=4),10&lt;=act_horizon_n),CHOOSE(act_scn_idx,AN247,BO247,CP247),"")</f>
        <v>0</v>
      </c>
      <c r="M101" s="62">
        <f>IF(AND(OR(act_view_idx=2,act_view_idx=4),11&lt;=act_horizon_n),CHOOSE(act_scn_idx,AO247,BP247,CQ247),"")</f>
        <v>0</v>
      </c>
      <c r="N101" s="62">
        <f>IF(AND(OR(act_view_idx=2,act_view_idx=4),12&lt;=act_horizon_n),CHOOSE(act_scn_idx,AP247,BQ247,CR247),"")</f>
        <v>0</v>
      </c>
      <c r="O101" s="62">
        <f>IF(AND(OR(act_view_idx=2,act_view_idx=4),13&lt;=act_horizon_n),CHOOSE(act_scn_idx,AQ247,BR247,CS247),"")</f>
        <v>0</v>
      </c>
      <c r="P101" s="62">
        <f>IF(AND(OR(act_view_idx=2,act_view_idx=4),14&lt;=act_horizon_n),CHOOSE(act_scn_idx,AR247,BS247,CT247),"")</f>
        <v>0</v>
      </c>
      <c r="Q101" s="62">
        <f>IF(AND(OR(act_view_idx=2,act_view_idx=4),15&lt;=act_horizon_n),CHOOSE(act_scn_idx,AS247,BT247,CU247),"")</f>
        <v>0</v>
      </c>
      <c r="R101" s="62">
        <f>IF(AND(OR(act_view_idx=2,act_view_idx=4),16&lt;=act_horizon_n),CHOOSE(act_scn_idx,AT247,BU247,CV247),"")</f>
        <v>0</v>
      </c>
      <c r="S101" s="62">
        <f>IF(AND(OR(act_view_idx=2,act_view_idx=4),17&lt;=act_horizon_n),CHOOSE(act_scn_idx,AU247,BV247,CW247),"")</f>
        <v>0</v>
      </c>
      <c r="T101" s="62">
        <f>IF(AND(OR(act_view_idx=2,act_view_idx=4),18&lt;=act_horizon_n),CHOOSE(act_scn_idx,AV247,BW247,CX247),"")</f>
        <v>0</v>
      </c>
      <c r="U101" s="62">
        <f>IF(AND(OR(act_view_idx=2,act_view_idx=4),19&lt;=act_horizon_n),CHOOSE(act_scn_idx,AW247,BX247,CY247),"")</f>
        <v>0</v>
      </c>
      <c r="V101" s="62">
        <f>IF(AND(OR(act_view_idx=2,act_view_idx=4),20&lt;=act_horizon_n),CHOOSE(act_scn_idx,AX247,BY247,CZ247),"")</f>
        <v>0</v>
      </c>
      <c r="W101" s="62">
        <f>IF(AND(OR(act_view_idx=2,act_view_idx=4),21&lt;=act_horizon_n),CHOOSE(act_scn_idx,AY247,BZ247,DA247),"")</f>
        <v>0</v>
      </c>
      <c r="X101" s="62">
        <f>IF(AND(OR(act_view_idx=2,act_view_idx=4),22&lt;=act_horizon_n),CHOOSE(act_scn_idx,AZ247,CA247,DB247),"")</f>
        <v>0</v>
      </c>
      <c r="Y101" s="62">
        <f>IF(AND(OR(act_view_idx=2,act_view_idx=4),23&lt;=act_horizon_n),CHOOSE(act_scn_idx,BA247,CB247,DC247),"")</f>
        <v>0</v>
      </c>
      <c r="Z101" s="62">
        <f>IF(AND(OR(act_view_idx=2,act_view_idx=4),24&lt;=act_horizon_n),CHOOSE(act_scn_idx,BB247,CC247,DD247),"")</f>
        <v>0</v>
      </c>
      <c r="AA101" s="1"/>
      <c r="AB101" s="63">
        <f>IF(OR(act_view_idx=2,act_view_idx=4),CHOOSE(act_scn_idx,BC247,CD247,DE247),"")</f>
        <v>0</v>
      </c>
      <c r="AC101" s="63">
        <f>IF(AND(OR(act_view_idx=2,act_view_idx=4),act_horizon_n&gt;=24),CHOOSE(act_scn_idx,BD247,CE247,DF247),"")</f>
        <v>0</v>
      </c>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c r="DH101"/>
    </row>
    <row r="102" spans="1:112" ht="20" customHeight="1" x14ac:dyDescent="0.2">
      <c r="A102" s="1"/>
      <c r="B102" s="66" t="str">
        <f>IF(OR(act_view_idx=2,act_view_idx=4),"CLOSING CASH","")</f>
        <v>CLOSING CASH</v>
      </c>
      <c r="C102" s="67">
        <f>IF(AND(OR(act_view_idx=2,act_view_idx=4),1&lt;=act_horizon_n),CHOOSE(act_scn_idx,AE248,BF248,CG248),"")</f>
        <v>0</v>
      </c>
      <c r="D102" s="67">
        <f>IF(AND(OR(act_view_idx=2,act_view_idx=4),2&lt;=act_horizon_n),CHOOSE(act_scn_idx,AF248,BG248,CH248),"")</f>
        <v>0</v>
      </c>
      <c r="E102" s="67">
        <f>IF(AND(OR(act_view_idx=2,act_view_idx=4),3&lt;=act_horizon_n),CHOOSE(act_scn_idx,AG248,BH248,CI248),"")</f>
        <v>0</v>
      </c>
      <c r="F102" s="67">
        <f>IF(AND(OR(act_view_idx=2,act_view_idx=4),4&lt;=act_horizon_n),CHOOSE(act_scn_idx,AH248,BI248,CJ248),"")</f>
        <v>0</v>
      </c>
      <c r="G102" s="67">
        <f>IF(AND(OR(act_view_idx=2,act_view_idx=4),5&lt;=act_horizon_n),CHOOSE(act_scn_idx,AI248,BJ248,CK248),"")</f>
        <v>0</v>
      </c>
      <c r="H102" s="67">
        <f>IF(AND(OR(act_view_idx=2,act_view_idx=4),6&lt;=act_horizon_n),CHOOSE(act_scn_idx,AJ248,BK248,CL248),"")</f>
        <v>0</v>
      </c>
      <c r="I102" s="67">
        <f>IF(AND(OR(act_view_idx=2,act_view_idx=4),7&lt;=act_horizon_n),CHOOSE(act_scn_idx,AK248,BL248,CM248),"")</f>
        <v>0</v>
      </c>
      <c r="J102" s="67">
        <f>IF(AND(OR(act_view_idx=2,act_view_idx=4),8&lt;=act_horizon_n),CHOOSE(act_scn_idx,AL248,BM248,CN248),"")</f>
        <v>0</v>
      </c>
      <c r="K102" s="67">
        <f>IF(AND(OR(act_view_idx=2,act_view_idx=4),9&lt;=act_horizon_n),CHOOSE(act_scn_idx,AM248,BN248,CO248),"")</f>
        <v>0</v>
      </c>
      <c r="L102" s="67">
        <f>IF(AND(OR(act_view_idx=2,act_view_idx=4),10&lt;=act_horizon_n),CHOOSE(act_scn_idx,AN248,BO248,CP248),"")</f>
        <v>0</v>
      </c>
      <c r="M102" s="67">
        <f>IF(AND(OR(act_view_idx=2,act_view_idx=4),11&lt;=act_horizon_n),CHOOSE(act_scn_idx,AO248,BP248,CQ248),"")</f>
        <v>0</v>
      </c>
      <c r="N102" s="67">
        <f>IF(AND(OR(act_view_idx=2,act_view_idx=4),12&lt;=act_horizon_n),CHOOSE(act_scn_idx,AP248,BQ248,CR248),"")</f>
        <v>0</v>
      </c>
      <c r="O102" s="67">
        <f>IF(AND(OR(act_view_idx=2,act_view_idx=4),13&lt;=act_horizon_n),CHOOSE(act_scn_idx,AQ248,BR248,CS248),"")</f>
        <v>0</v>
      </c>
      <c r="P102" s="67">
        <f>IF(AND(OR(act_view_idx=2,act_view_idx=4),14&lt;=act_horizon_n),CHOOSE(act_scn_idx,AR248,BS248,CT248),"")</f>
        <v>0</v>
      </c>
      <c r="Q102" s="67">
        <f>IF(AND(OR(act_view_idx=2,act_view_idx=4),15&lt;=act_horizon_n),CHOOSE(act_scn_idx,AS248,BT248,CU248),"")</f>
        <v>0</v>
      </c>
      <c r="R102" s="67">
        <f>IF(AND(OR(act_view_idx=2,act_view_idx=4),16&lt;=act_horizon_n),CHOOSE(act_scn_idx,AT248,BU248,CV248),"")</f>
        <v>0</v>
      </c>
      <c r="S102" s="67">
        <f>IF(AND(OR(act_view_idx=2,act_view_idx=4),17&lt;=act_horizon_n),CHOOSE(act_scn_idx,AU248,BV248,CW248),"")</f>
        <v>0</v>
      </c>
      <c r="T102" s="67">
        <f>IF(AND(OR(act_view_idx=2,act_view_idx=4),18&lt;=act_horizon_n),CHOOSE(act_scn_idx,AV248,BW248,CX248),"")</f>
        <v>0</v>
      </c>
      <c r="U102" s="67">
        <f>IF(AND(OR(act_view_idx=2,act_view_idx=4),19&lt;=act_horizon_n),CHOOSE(act_scn_idx,AW248,BX248,CY248),"")</f>
        <v>0</v>
      </c>
      <c r="V102" s="67">
        <f>IF(AND(OR(act_view_idx=2,act_view_idx=4),20&lt;=act_horizon_n),CHOOSE(act_scn_idx,AX248,BY248,CZ248),"")</f>
        <v>0</v>
      </c>
      <c r="W102" s="67">
        <f>IF(AND(OR(act_view_idx=2,act_view_idx=4),21&lt;=act_horizon_n),CHOOSE(act_scn_idx,AY248,BZ248,DA248),"")</f>
        <v>0</v>
      </c>
      <c r="X102" s="67">
        <f>IF(AND(OR(act_view_idx=2,act_view_idx=4),22&lt;=act_horizon_n),CHOOSE(act_scn_idx,AZ248,CA248,DB248),"")</f>
        <v>0</v>
      </c>
      <c r="Y102" s="67">
        <f>IF(AND(OR(act_view_idx=2,act_view_idx=4),23&lt;=act_horizon_n),CHOOSE(act_scn_idx,BA248,CB248,DC248),"")</f>
        <v>0</v>
      </c>
      <c r="Z102" s="67">
        <f>IF(AND(OR(act_view_idx=2,act_view_idx=4),24&lt;=act_horizon_n),CHOOSE(act_scn_idx,BB248,CC248,DD248),"")</f>
        <v>0</v>
      </c>
      <c r="AA102" s="1"/>
      <c r="AB102" s="67">
        <f>IF(OR(act_view_idx=2,act_view_idx=4),CHOOSE(act_scn_idx,BC248,CD248,DE248),"")</f>
        <v>0</v>
      </c>
      <c r="AC102" s="67">
        <f>IF(AND(OR(act_view_idx=2,act_view_idx=4),act_horizon_n&gt;=24),CHOOSE(act_scn_idx,BD248,CE248,DF248),"")</f>
        <v>0</v>
      </c>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c r="DH102"/>
    </row>
    <row r="103" spans="1:112" ht="20" customHeight="1" x14ac:dyDescent="0.2">
      <c r="A103" s="1"/>
      <c r="B103" s="60" t="str">
        <f>IF(OR(act_view_idx=3,act_view_idx=4),"■ BALANCE SHEET (closing balances)","")</f>
        <v>■ BALANCE SHEET (closing balances)</v>
      </c>
      <c r="C103" s="20"/>
      <c r="D103" s="20"/>
      <c r="E103" s="20"/>
      <c r="F103" s="20"/>
      <c r="G103" s="20"/>
      <c r="H103" s="20"/>
      <c r="I103" s="20"/>
      <c r="J103" s="20"/>
      <c r="K103" s="20"/>
      <c r="L103" s="20"/>
      <c r="M103" s="20"/>
      <c r="N103" s="20"/>
      <c r="O103" s="20"/>
      <c r="P103" s="20"/>
      <c r="Q103" s="20"/>
      <c r="R103" s="20"/>
      <c r="S103" s="20"/>
      <c r="T103" s="20"/>
      <c r="U103" s="20"/>
      <c r="V103" s="20"/>
      <c r="W103" s="20"/>
      <c r="X103" s="20"/>
      <c r="Y103" s="20"/>
      <c r="Z103" s="20"/>
      <c r="AA103" s="20"/>
      <c r="AB103" s="20"/>
      <c r="AC103" s="20"/>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c r="DC103" s="2"/>
      <c r="DD103" s="2"/>
      <c r="DE103" s="2"/>
      <c r="DF103" s="2"/>
      <c r="DG103"/>
      <c r="DH103"/>
    </row>
    <row r="104" spans="1:112" ht="20" customHeight="1" x14ac:dyDescent="0.2">
      <c r="A104" s="1"/>
      <c r="B104" s="61" t="str">
        <f>IF(OR(act_view_idx=3,act_view_idx=4),"ASSETS","")</f>
        <v>ASSETS</v>
      </c>
      <c r="C104" s="2"/>
      <c r="D104" s="2"/>
      <c r="E104" s="2"/>
      <c r="F104" s="2"/>
      <c r="G104" s="2"/>
      <c r="H104" s="2"/>
      <c r="I104" s="2"/>
      <c r="J104" s="2"/>
      <c r="K104" s="2"/>
      <c r="L104" s="2"/>
      <c r="M104" s="2"/>
      <c r="N104" s="2"/>
      <c r="O104" s="2"/>
      <c r="P104" s="2"/>
      <c r="Q104" s="2"/>
      <c r="R104" s="2"/>
      <c r="S104" s="2"/>
      <c r="T104" s="2"/>
      <c r="U104" s="2"/>
      <c r="V104" s="2"/>
      <c r="W104" s="2"/>
      <c r="X104" s="2"/>
      <c r="Y104" s="2"/>
      <c r="Z104" s="2"/>
      <c r="AA104" s="1"/>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c r="CY104" s="2"/>
      <c r="CZ104" s="2"/>
      <c r="DA104" s="2"/>
      <c r="DB104" s="2"/>
      <c r="DC104" s="2"/>
      <c r="DD104" s="2"/>
      <c r="DE104" s="2"/>
      <c r="DF104" s="2"/>
      <c r="DG104"/>
      <c r="DH104"/>
    </row>
    <row r="105" spans="1:112" ht="20" customHeight="1" x14ac:dyDescent="0.2">
      <c r="A105" s="1"/>
      <c r="B105" s="22" t="str">
        <f>IF(OR(act_view_idx=3,act_view_idx=4),"   Cash and equivalents","")</f>
        <v xml:space="preserve">   Cash and equivalents</v>
      </c>
      <c r="C105" s="62">
        <f>IF(AND(OR(act_view_idx=3,act_view_idx=4),1&lt;=act_horizon_n),CHOOSE(act_scn_idx,AE249,BF249,CG249),"")</f>
        <v>0</v>
      </c>
      <c r="D105" s="62">
        <f>IF(AND(OR(act_view_idx=3,act_view_idx=4),2&lt;=act_horizon_n),CHOOSE(act_scn_idx,AF249,BG249,CH249),"")</f>
        <v>0</v>
      </c>
      <c r="E105" s="62">
        <f>IF(AND(OR(act_view_idx=3,act_view_idx=4),3&lt;=act_horizon_n),CHOOSE(act_scn_idx,AG249,BH249,CI249),"")</f>
        <v>0</v>
      </c>
      <c r="F105" s="62">
        <f>IF(AND(OR(act_view_idx=3,act_view_idx=4),4&lt;=act_horizon_n),CHOOSE(act_scn_idx,AH249,BI249,CJ249),"")</f>
        <v>0</v>
      </c>
      <c r="G105" s="62">
        <f>IF(AND(OR(act_view_idx=3,act_view_idx=4),5&lt;=act_horizon_n),CHOOSE(act_scn_idx,AI249,BJ249,CK249),"")</f>
        <v>0</v>
      </c>
      <c r="H105" s="62">
        <f>IF(AND(OR(act_view_idx=3,act_view_idx=4),6&lt;=act_horizon_n),CHOOSE(act_scn_idx,AJ249,BK249,CL249),"")</f>
        <v>0</v>
      </c>
      <c r="I105" s="62">
        <f>IF(AND(OR(act_view_idx=3,act_view_idx=4),7&lt;=act_horizon_n),CHOOSE(act_scn_idx,AK249,BL249,CM249),"")</f>
        <v>0</v>
      </c>
      <c r="J105" s="62">
        <f>IF(AND(OR(act_view_idx=3,act_view_idx=4),8&lt;=act_horizon_n),CHOOSE(act_scn_idx,AL249,BM249,CN249),"")</f>
        <v>0</v>
      </c>
      <c r="K105" s="62">
        <f>IF(AND(OR(act_view_idx=3,act_view_idx=4),9&lt;=act_horizon_n),CHOOSE(act_scn_idx,AM249,BN249,CO249),"")</f>
        <v>0</v>
      </c>
      <c r="L105" s="62">
        <f>IF(AND(OR(act_view_idx=3,act_view_idx=4),10&lt;=act_horizon_n),CHOOSE(act_scn_idx,AN249,BO249,CP249),"")</f>
        <v>0</v>
      </c>
      <c r="M105" s="62">
        <f>IF(AND(OR(act_view_idx=3,act_view_idx=4),11&lt;=act_horizon_n),CHOOSE(act_scn_idx,AO249,BP249,CQ249),"")</f>
        <v>0</v>
      </c>
      <c r="N105" s="62">
        <f>IF(AND(OR(act_view_idx=3,act_view_idx=4),12&lt;=act_horizon_n),CHOOSE(act_scn_idx,AP249,BQ249,CR249),"")</f>
        <v>0</v>
      </c>
      <c r="O105" s="62">
        <f>IF(AND(OR(act_view_idx=3,act_view_idx=4),13&lt;=act_horizon_n),CHOOSE(act_scn_idx,AQ249,BR249,CS249),"")</f>
        <v>0</v>
      </c>
      <c r="P105" s="62">
        <f>IF(AND(OR(act_view_idx=3,act_view_idx=4),14&lt;=act_horizon_n),CHOOSE(act_scn_idx,AR249,BS249,CT249),"")</f>
        <v>0</v>
      </c>
      <c r="Q105" s="62">
        <f>IF(AND(OR(act_view_idx=3,act_view_idx=4),15&lt;=act_horizon_n),CHOOSE(act_scn_idx,AS249,BT249,CU249),"")</f>
        <v>0</v>
      </c>
      <c r="R105" s="62">
        <f>IF(AND(OR(act_view_idx=3,act_view_idx=4),16&lt;=act_horizon_n),CHOOSE(act_scn_idx,AT249,BU249,CV249),"")</f>
        <v>0</v>
      </c>
      <c r="S105" s="62">
        <f>IF(AND(OR(act_view_idx=3,act_view_idx=4),17&lt;=act_horizon_n),CHOOSE(act_scn_idx,AU249,BV249,CW249),"")</f>
        <v>0</v>
      </c>
      <c r="T105" s="62">
        <f>IF(AND(OR(act_view_idx=3,act_view_idx=4),18&lt;=act_horizon_n),CHOOSE(act_scn_idx,AV249,BW249,CX249),"")</f>
        <v>0</v>
      </c>
      <c r="U105" s="62">
        <f>IF(AND(OR(act_view_idx=3,act_view_idx=4),19&lt;=act_horizon_n),CHOOSE(act_scn_idx,AW249,BX249,CY249),"")</f>
        <v>0</v>
      </c>
      <c r="V105" s="62">
        <f>IF(AND(OR(act_view_idx=3,act_view_idx=4),20&lt;=act_horizon_n),CHOOSE(act_scn_idx,AX249,BY249,CZ249),"")</f>
        <v>0</v>
      </c>
      <c r="W105" s="62">
        <f>IF(AND(OR(act_view_idx=3,act_view_idx=4),21&lt;=act_horizon_n),CHOOSE(act_scn_idx,AY249,BZ249,DA249),"")</f>
        <v>0</v>
      </c>
      <c r="X105" s="62">
        <f>IF(AND(OR(act_view_idx=3,act_view_idx=4),22&lt;=act_horizon_n),CHOOSE(act_scn_idx,AZ249,CA249,DB249),"")</f>
        <v>0</v>
      </c>
      <c r="Y105" s="62">
        <f>IF(AND(OR(act_view_idx=3,act_view_idx=4),23&lt;=act_horizon_n),CHOOSE(act_scn_idx,BA249,CB249,DC249),"")</f>
        <v>0</v>
      </c>
      <c r="Z105" s="62">
        <f>IF(AND(OR(act_view_idx=3,act_view_idx=4),24&lt;=act_horizon_n),CHOOSE(act_scn_idx,BB249,CC249,DD249),"")</f>
        <v>0</v>
      </c>
      <c r="AA105" s="1"/>
      <c r="AB105" s="63">
        <f>IF(OR(act_view_idx=3,act_view_idx=4),CHOOSE(act_scn_idx,BC249,CD249,DE249),"")</f>
        <v>0</v>
      </c>
      <c r="AC105" s="63">
        <f>IF(AND(OR(act_view_idx=3,act_view_idx=4),act_horizon_n&gt;=24),CHOOSE(act_scn_idx,BD249,CE249,DF249),"")</f>
        <v>0</v>
      </c>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c r="DH105"/>
    </row>
    <row r="106" spans="1:112" ht="20" customHeight="1" x14ac:dyDescent="0.2">
      <c r="A106" s="1"/>
      <c r="B106" s="22" t="str">
        <f>IF(OR(act_view_idx=3,act_view_idx=4),"   Accounts receivable","")</f>
        <v xml:space="preserve">   Accounts receivable</v>
      </c>
      <c r="C106" s="62">
        <f>IF(AND(OR(act_view_idx=3,act_view_idx=4),1&lt;=act_horizon_n),CHOOSE(act_scn_idx,AE250,BF250,CG250),"")</f>
        <v>0</v>
      </c>
      <c r="D106" s="62">
        <f>IF(AND(OR(act_view_idx=3,act_view_idx=4),2&lt;=act_horizon_n),CHOOSE(act_scn_idx,AF250,BG250,CH250),"")</f>
        <v>0</v>
      </c>
      <c r="E106" s="62">
        <f>IF(AND(OR(act_view_idx=3,act_view_idx=4),3&lt;=act_horizon_n),CHOOSE(act_scn_idx,AG250,BH250,CI250),"")</f>
        <v>0</v>
      </c>
      <c r="F106" s="62">
        <f>IF(AND(OR(act_view_idx=3,act_view_idx=4),4&lt;=act_horizon_n),CHOOSE(act_scn_idx,AH250,BI250,CJ250),"")</f>
        <v>0</v>
      </c>
      <c r="G106" s="62">
        <f>IF(AND(OR(act_view_idx=3,act_view_idx=4),5&lt;=act_horizon_n),CHOOSE(act_scn_idx,AI250,BJ250,CK250),"")</f>
        <v>0</v>
      </c>
      <c r="H106" s="62">
        <f>IF(AND(OR(act_view_idx=3,act_view_idx=4),6&lt;=act_horizon_n),CHOOSE(act_scn_idx,AJ250,BK250,CL250),"")</f>
        <v>0</v>
      </c>
      <c r="I106" s="62">
        <f>IF(AND(OR(act_view_idx=3,act_view_idx=4),7&lt;=act_horizon_n),CHOOSE(act_scn_idx,AK250,BL250,CM250),"")</f>
        <v>0</v>
      </c>
      <c r="J106" s="62">
        <f>IF(AND(OR(act_view_idx=3,act_view_idx=4),8&lt;=act_horizon_n),CHOOSE(act_scn_idx,AL250,BM250,CN250),"")</f>
        <v>0</v>
      </c>
      <c r="K106" s="62">
        <f>IF(AND(OR(act_view_idx=3,act_view_idx=4),9&lt;=act_horizon_n),CHOOSE(act_scn_idx,AM250,BN250,CO250),"")</f>
        <v>0</v>
      </c>
      <c r="L106" s="62">
        <f>IF(AND(OR(act_view_idx=3,act_view_idx=4),10&lt;=act_horizon_n),CHOOSE(act_scn_idx,AN250,BO250,CP250),"")</f>
        <v>0</v>
      </c>
      <c r="M106" s="62">
        <f>IF(AND(OR(act_view_idx=3,act_view_idx=4),11&lt;=act_horizon_n),CHOOSE(act_scn_idx,AO250,BP250,CQ250),"")</f>
        <v>0</v>
      </c>
      <c r="N106" s="62">
        <f>IF(AND(OR(act_view_idx=3,act_view_idx=4),12&lt;=act_horizon_n),CHOOSE(act_scn_idx,AP250,BQ250,CR250),"")</f>
        <v>0</v>
      </c>
      <c r="O106" s="62">
        <f>IF(AND(OR(act_view_idx=3,act_view_idx=4),13&lt;=act_horizon_n),CHOOSE(act_scn_idx,AQ250,BR250,CS250),"")</f>
        <v>0</v>
      </c>
      <c r="P106" s="62">
        <f>IF(AND(OR(act_view_idx=3,act_view_idx=4),14&lt;=act_horizon_n),CHOOSE(act_scn_idx,AR250,BS250,CT250),"")</f>
        <v>0</v>
      </c>
      <c r="Q106" s="62">
        <f>IF(AND(OR(act_view_idx=3,act_view_idx=4),15&lt;=act_horizon_n),CHOOSE(act_scn_idx,AS250,BT250,CU250),"")</f>
        <v>0</v>
      </c>
      <c r="R106" s="62">
        <f>IF(AND(OR(act_view_idx=3,act_view_idx=4),16&lt;=act_horizon_n),CHOOSE(act_scn_idx,AT250,BU250,CV250),"")</f>
        <v>0</v>
      </c>
      <c r="S106" s="62">
        <f>IF(AND(OR(act_view_idx=3,act_view_idx=4),17&lt;=act_horizon_n),CHOOSE(act_scn_idx,AU250,BV250,CW250),"")</f>
        <v>0</v>
      </c>
      <c r="T106" s="62">
        <f>IF(AND(OR(act_view_idx=3,act_view_idx=4),18&lt;=act_horizon_n),CHOOSE(act_scn_idx,AV250,BW250,CX250),"")</f>
        <v>0</v>
      </c>
      <c r="U106" s="62">
        <f>IF(AND(OR(act_view_idx=3,act_view_idx=4),19&lt;=act_horizon_n),CHOOSE(act_scn_idx,AW250,BX250,CY250),"")</f>
        <v>0</v>
      </c>
      <c r="V106" s="62">
        <f>IF(AND(OR(act_view_idx=3,act_view_idx=4),20&lt;=act_horizon_n),CHOOSE(act_scn_idx,AX250,BY250,CZ250),"")</f>
        <v>0</v>
      </c>
      <c r="W106" s="62">
        <f>IF(AND(OR(act_view_idx=3,act_view_idx=4),21&lt;=act_horizon_n),CHOOSE(act_scn_idx,AY250,BZ250,DA250),"")</f>
        <v>0</v>
      </c>
      <c r="X106" s="62">
        <f>IF(AND(OR(act_view_idx=3,act_view_idx=4),22&lt;=act_horizon_n),CHOOSE(act_scn_idx,AZ250,CA250,DB250),"")</f>
        <v>0</v>
      </c>
      <c r="Y106" s="62">
        <f>IF(AND(OR(act_view_idx=3,act_view_idx=4),23&lt;=act_horizon_n),CHOOSE(act_scn_idx,BA250,CB250,DC250),"")</f>
        <v>0</v>
      </c>
      <c r="Z106" s="62">
        <f>IF(AND(OR(act_view_idx=3,act_view_idx=4),24&lt;=act_horizon_n),CHOOSE(act_scn_idx,BB250,CC250,DD250),"")</f>
        <v>0</v>
      </c>
      <c r="AA106" s="1"/>
      <c r="AB106" s="63">
        <f>IF(OR(act_view_idx=3,act_view_idx=4),CHOOSE(act_scn_idx,BC250,CD250,DE250),"")</f>
        <v>0</v>
      </c>
      <c r="AC106" s="63">
        <f>IF(AND(OR(act_view_idx=3,act_view_idx=4),act_horizon_n&gt;=24),CHOOSE(act_scn_idx,BD250,CE250,DF250),"")</f>
        <v>0</v>
      </c>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c r="DH106"/>
    </row>
    <row r="107" spans="1:112" ht="20" customHeight="1" x14ac:dyDescent="0.2">
      <c r="A107" s="1"/>
      <c r="B107" s="22" t="str">
        <f>IF(OR(act_view_idx=3,act_view_idx=4),"   Other current assets","")</f>
        <v xml:space="preserve">   Other current assets</v>
      </c>
      <c r="C107" s="62">
        <f>IF(AND(OR(act_view_idx=3,act_view_idx=4),1&lt;=act_horizon_n),CHOOSE(act_scn_idx,AE251,BF251,CG251),"")</f>
        <v>0</v>
      </c>
      <c r="D107" s="62">
        <f>IF(AND(OR(act_view_idx=3,act_view_idx=4),2&lt;=act_horizon_n),CHOOSE(act_scn_idx,AF251,BG251,CH251),"")</f>
        <v>0</v>
      </c>
      <c r="E107" s="62">
        <f>IF(AND(OR(act_view_idx=3,act_view_idx=4),3&lt;=act_horizon_n),CHOOSE(act_scn_idx,AG251,BH251,CI251),"")</f>
        <v>0</v>
      </c>
      <c r="F107" s="62">
        <f>IF(AND(OR(act_view_idx=3,act_view_idx=4),4&lt;=act_horizon_n),CHOOSE(act_scn_idx,AH251,BI251,CJ251),"")</f>
        <v>0</v>
      </c>
      <c r="G107" s="62">
        <f>IF(AND(OR(act_view_idx=3,act_view_idx=4),5&lt;=act_horizon_n),CHOOSE(act_scn_idx,AI251,BJ251,CK251),"")</f>
        <v>0</v>
      </c>
      <c r="H107" s="62">
        <f>IF(AND(OR(act_view_idx=3,act_view_idx=4),6&lt;=act_horizon_n),CHOOSE(act_scn_idx,AJ251,BK251,CL251),"")</f>
        <v>0</v>
      </c>
      <c r="I107" s="62">
        <f>IF(AND(OR(act_view_idx=3,act_view_idx=4),7&lt;=act_horizon_n),CHOOSE(act_scn_idx,AK251,BL251,CM251),"")</f>
        <v>0</v>
      </c>
      <c r="J107" s="62">
        <f>IF(AND(OR(act_view_idx=3,act_view_idx=4),8&lt;=act_horizon_n),CHOOSE(act_scn_idx,AL251,BM251,CN251),"")</f>
        <v>0</v>
      </c>
      <c r="K107" s="62">
        <f>IF(AND(OR(act_view_idx=3,act_view_idx=4),9&lt;=act_horizon_n),CHOOSE(act_scn_idx,AM251,BN251,CO251),"")</f>
        <v>0</v>
      </c>
      <c r="L107" s="62">
        <f>IF(AND(OR(act_view_idx=3,act_view_idx=4),10&lt;=act_horizon_n),CHOOSE(act_scn_idx,AN251,BO251,CP251),"")</f>
        <v>0</v>
      </c>
      <c r="M107" s="62">
        <f>IF(AND(OR(act_view_idx=3,act_view_idx=4),11&lt;=act_horizon_n),CHOOSE(act_scn_idx,AO251,BP251,CQ251),"")</f>
        <v>0</v>
      </c>
      <c r="N107" s="62">
        <f>IF(AND(OR(act_view_idx=3,act_view_idx=4),12&lt;=act_horizon_n),CHOOSE(act_scn_idx,AP251,BQ251,CR251),"")</f>
        <v>0</v>
      </c>
      <c r="O107" s="62">
        <f>IF(AND(OR(act_view_idx=3,act_view_idx=4),13&lt;=act_horizon_n),CHOOSE(act_scn_idx,AQ251,BR251,CS251),"")</f>
        <v>0</v>
      </c>
      <c r="P107" s="62">
        <f>IF(AND(OR(act_view_idx=3,act_view_idx=4),14&lt;=act_horizon_n),CHOOSE(act_scn_idx,AR251,BS251,CT251),"")</f>
        <v>0</v>
      </c>
      <c r="Q107" s="62">
        <f>IF(AND(OR(act_view_idx=3,act_view_idx=4),15&lt;=act_horizon_n),CHOOSE(act_scn_idx,AS251,BT251,CU251),"")</f>
        <v>0</v>
      </c>
      <c r="R107" s="62">
        <f>IF(AND(OR(act_view_idx=3,act_view_idx=4),16&lt;=act_horizon_n),CHOOSE(act_scn_idx,AT251,BU251,CV251),"")</f>
        <v>0</v>
      </c>
      <c r="S107" s="62">
        <f>IF(AND(OR(act_view_idx=3,act_view_idx=4),17&lt;=act_horizon_n),CHOOSE(act_scn_idx,AU251,BV251,CW251),"")</f>
        <v>0</v>
      </c>
      <c r="T107" s="62">
        <f>IF(AND(OR(act_view_idx=3,act_view_idx=4),18&lt;=act_horizon_n),CHOOSE(act_scn_idx,AV251,BW251,CX251),"")</f>
        <v>0</v>
      </c>
      <c r="U107" s="62">
        <f>IF(AND(OR(act_view_idx=3,act_view_idx=4),19&lt;=act_horizon_n),CHOOSE(act_scn_idx,AW251,BX251,CY251),"")</f>
        <v>0</v>
      </c>
      <c r="V107" s="62">
        <f>IF(AND(OR(act_view_idx=3,act_view_idx=4),20&lt;=act_horizon_n),CHOOSE(act_scn_idx,AX251,BY251,CZ251),"")</f>
        <v>0</v>
      </c>
      <c r="W107" s="62">
        <f>IF(AND(OR(act_view_idx=3,act_view_idx=4),21&lt;=act_horizon_n),CHOOSE(act_scn_idx,AY251,BZ251,DA251),"")</f>
        <v>0</v>
      </c>
      <c r="X107" s="62">
        <f>IF(AND(OR(act_view_idx=3,act_view_idx=4),22&lt;=act_horizon_n),CHOOSE(act_scn_idx,AZ251,CA251,DB251),"")</f>
        <v>0</v>
      </c>
      <c r="Y107" s="62">
        <f>IF(AND(OR(act_view_idx=3,act_view_idx=4),23&lt;=act_horizon_n),CHOOSE(act_scn_idx,BA251,CB251,DC251),"")</f>
        <v>0</v>
      </c>
      <c r="Z107" s="62">
        <f>IF(AND(OR(act_view_idx=3,act_view_idx=4),24&lt;=act_horizon_n),CHOOSE(act_scn_idx,BB251,CC251,DD251),"")</f>
        <v>0</v>
      </c>
      <c r="AA107" s="1"/>
      <c r="AB107" s="63">
        <f>IF(OR(act_view_idx=3,act_view_idx=4),CHOOSE(act_scn_idx,BC251,CD251,DE251),"")</f>
        <v>0</v>
      </c>
      <c r="AC107" s="63">
        <f>IF(AND(OR(act_view_idx=3,act_view_idx=4),act_horizon_n&gt;=24),CHOOSE(act_scn_idx,BD251,CE251,DF251),"")</f>
        <v>0</v>
      </c>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c r="DH107"/>
    </row>
    <row r="108" spans="1:112" ht="20" customHeight="1" x14ac:dyDescent="0.2">
      <c r="A108" s="1"/>
      <c r="B108" s="64" t="str">
        <f>IF(OR(act_view_idx=3,act_view_idx=4),"Total current assets","")</f>
        <v>Total current assets</v>
      </c>
      <c r="C108" s="65">
        <f>IF(AND(OR(act_view_idx=3,act_view_idx=4),1&lt;=act_horizon_n),CHOOSE(act_scn_idx,AE252,BF252,CG252),"")</f>
        <v>0</v>
      </c>
      <c r="D108" s="65">
        <f>IF(AND(OR(act_view_idx=3,act_view_idx=4),2&lt;=act_horizon_n),CHOOSE(act_scn_idx,AF252,BG252,CH252),"")</f>
        <v>0</v>
      </c>
      <c r="E108" s="65">
        <f>IF(AND(OR(act_view_idx=3,act_view_idx=4),3&lt;=act_horizon_n),CHOOSE(act_scn_idx,AG252,BH252,CI252),"")</f>
        <v>0</v>
      </c>
      <c r="F108" s="65">
        <f>IF(AND(OR(act_view_idx=3,act_view_idx=4),4&lt;=act_horizon_n),CHOOSE(act_scn_idx,AH252,BI252,CJ252),"")</f>
        <v>0</v>
      </c>
      <c r="G108" s="65">
        <f>IF(AND(OR(act_view_idx=3,act_view_idx=4),5&lt;=act_horizon_n),CHOOSE(act_scn_idx,AI252,BJ252,CK252),"")</f>
        <v>0</v>
      </c>
      <c r="H108" s="65">
        <f>IF(AND(OR(act_view_idx=3,act_view_idx=4),6&lt;=act_horizon_n),CHOOSE(act_scn_idx,AJ252,BK252,CL252),"")</f>
        <v>0</v>
      </c>
      <c r="I108" s="65">
        <f>IF(AND(OR(act_view_idx=3,act_view_idx=4),7&lt;=act_horizon_n),CHOOSE(act_scn_idx,AK252,BL252,CM252),"")</f>
        <v>0</v>
      </c>
      <c r="J108" s="65">
        <f>IF(AND(OR(act_view_idx=3,act_view_idx=4),8&lt;=act_horizon_n),CHOOSE(act_scn_idx,AL252,BM252,CN252),"")</f>
        <v>0</v>
      </c>
      <c r="K108" s="65">
        <f>IF(AND(OR(act_view_idx=3,act_view_idx=4),9&lt;=act_horizon_n),CHOOSE(act_scn_idx,AM252,BN252,CO252),"")</f>
        <v>0</v>
      </c>
      <c r="L108" s="65">
        <f>IF(AND(OR(act_view_idx=3,act_view_idx=4),10&lt;=act_horizon_n),CHOOSE(act_scn_idx,AN252,BO252,CP252),"")</f>
        <v>0</v>
      </c>
      <c r="M108" s="65">
        <f>IF(AND(OR(act_view_idx=3,act_view_idx=4),11&lt;=act_horizon_n),CHOOSE(act_scn_idx,AO252,BP252,CQ252),"")</f>
        <v>0</v>
      </c>
      <c r="N108" s="65">
        <f>IF(AND(OR(act_view_idx=3,act_view_idx=4),12&lt;=act_horizon_n),CHOOSE(act_scn_idx,AP252,BQ252,CR252),"")</f>
        <v>0</v>
      </c>
      <c r="O108" s="65">
        <f>IF(AND(OR(act_view_idx=3,act_view_idx=4),13&lt;=act_horizon_n),CHOOSE(act_scn_idx,AQ252,BR252,CS252),"")</f>
        <v>0</v>
      </c>
      <c r="P108" s="65">
        <f>IF(AND(OR(act_view_idx=3,act_view_idx=4),14&lt;=act_horizon_n),CHOOSE(act_scn_idx,AR252,BS252,CT252),"")</f>
        <v>0</v>
      </c>
      <c r="Q108" s="65">
        <f>IF(AND(OR(act_view_idx=3,act_view_idx=4),15&lt;=act_horizon_n),CHOOSE(act_scn_idx,AS252,BT252,CU252),"")</f>
        <v>0</v>
      </c>
      <c r="R108" s="65">
        <f>IF(AND(OR(act_view_idx=3,act_view_idx=4),16&lt;=act_horizon_n),CHOOSE(act_scn_idx,AT252,BU252,CV252),"")</f>
        <v>0</v>
      </c>
      <c r="S108" s="65">
        <f>IF(AND(OR(act_view_idx=3,act_view_idx=4),17&lt;=act_horizon_n),CHOOSE(act_scn_idx,AU252,BV252,CW252),"")</f>
        <v>0</v>
      </c>
      <c r="T108" s="65">
        <f>IF(AND(OR(act_view_idx=3,act_view_idx=4),18&lt;=act_horizon_n),CHOOSE(act_scn_idx,AV252,BW252,CX252),"")</f>
        <v>0</v>
      </c>
      <c r="U108" s="65">
        <f>IF(AND(OR(act_view_idx=3,act_view_idx=4),19&lt;=act_horizon_n),CHOOSE(act_scn_idx,AW252,BX252,CY252),"")</f>
        <v>0</v>
      </c>
      <c r="V108" s="65">
        <f>IF(AND(OR(act_view_idx=3,act_view_idx=4),20&lt;=act_horizon_n),CHOOSE(act_scn_idx,AX252,BY252,CZ252),"")</f>
        <v>0</v>
      </c>
      <c r="W108" s="65">
        <f>IF(AND(OR(act_view_idx=3,act_view_idx=4),21&lt;=act_horizon_n),CHOOSE(act_scn_idx,AY252,BZ252,DA252),"")</f>
        <v>0</v>
      </c>
      <c r="X108" s="65">
        <f>IF(AND(OR(act_view_idx=3,act_view_idx=4),22&lt;=act_horizon_n),CHOOSE(act_scn_idx,AZ252,CA252,DB252),"")</f>
        <v>0</v>
      </c>
      <c r="Y108" s="65">
        <f>IF(AND(OR(act_view_idx=3,act_view_idx=4),23&lt;=act_horizon_n),CHOOSE(act_scn_idx,BA252,CB252,DC252),"")</f>
        <v>0</v>
      </c>
      <c r="Z108" s="65">
        <f>IF(AND(OR(act_view_idx=3,act_view_idx=4),24&lt;=act_horizon_n),CHOOSE(act_scn_idx,BB252,CC252,DD252),"")</f>
        <v>0</v>
      </c>
      <c r="AA108" s="1"/>
      <c r="AB108" s="65">
        <f>IF(OR(act_view_idx=3,act_view_idx=4),CHOOSE(act_scn_idx,BC252,CD252,DE252),"")</f>
        <v>0</v>
      </c>
      <c r="AC108" s="65">
        <f>IF(AND(OR(act_view_idx=3,act_view_idx=4),act_horizon_n&gt;=24),CHOOSE(act_scn_idx,BD252,CE252,DF252),"")</f>
        <v>0</v>
      </c>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c r="CY108" s="2"/>
      <c r="CZ108" s="2"/>
      <c r="DA108" s="2"/>
      <c r="DB108" s="2"/>
      <c r="DC108" s="2"/>
      <c r="DD108" s="2"/>
      <c r="DE108" s="2"/>
      <c r="DF108" s="2"/>
      <c r="DG108"/>
      <c r="DH108"/>
    </row>
    <row r="109" spans="1:112" ht="20" customHeight="1" x14ac:dyDescent="0.2">
      <c r="A109" s="1"/>
      <c r="B109" s="22" t="str">
        <f>IF(OR(act_view_idx=3,act_view_idx=4),"   Fixed assets, net (PP&amp;E − accum. D&amp;A)","")</f>
        <v xml:space="preserve">   Fixed assets, net (PP&amp;E − accum. D&amp;A)</v>
      </c>
      <c r="C109" s="62">
        <f>IF(AND(OR(act_view_idx=3,act_view_idx=4),1&lt;=act_horizon_n),CHOOSE(act_scn_idx,AE255,BF255,CG255),"")</f>
        <v>0</v>
      </c>
      <c r="D109" s="62">
        <f>IF(AND(OR(act_view_idx=3,act_view_idx=4),2&lt;=act_horizon_n),CHOOSE(act_scn_idx,AF255,BG255,CH255),"")</f>
        <v>0</v>
      </c>
      <c r="E109" s="62">
        <f>IF(AND(OR(act_view_idx=3,act_view_idx=4),3&lt;=act_horizon_n),CHOOSE(act_scn_idx,AG255,BH255,CI255),"")</f>
        <v>0</v>
      </c>
      <c r="F109" s="62">
        <f>IF(AND(OR(act_view_idx=3,act_view_idx=4),4&lt;=act_horizon_n),CHOOSE(act_scn_idx,AH255,BI255,CJ255),"")</f>
        <v>0</v>
      </c>
      <c r="G109" s="62">
        <f>IF(AND(OR(act_view_idx=3,act_view_idx=4),5&lt;=act_horizon_n),CHOOSE(act_scn_idx,AI255,BJ255,CK255),"")</f>
        <v>0</v>
      </c>
      <c r="H109" s="62">
        <f>IF(AND(OR(act_view_idx=3,act_view_idx=4),6&lt;=act_horizon_n),CHOOSE(act_scn_idx,AJ255,BK255,CL255),"")</f>
        <v>0</v>
      </c>
      <c r="I109" s="62">
        <f>IF(AND(OR(act_view_idx=3,act_view_idx=4),7&lt;=act_horizon_n),CHOOSE(act_scn_idx,AK255,BL255,CM255),"")</f>
        <v>0</v>
      </c>
      <c r="J109" s="62">
        <f>IF(AND(OR(act_view_idx=3,act_view_idx=4),8&lt;=act_horizon_n),CHOOSE(act_scn_idx,AL255,BM255,CN255),"")</f>
        <v>0</v>
      </c>
      <c r="K109" s="62">
        <f>IF(AND(OR(act_view_idx=3,act_view_idx=4),9&lt;=act_horizon_n),CHOOSE(act_scn_idx,AM255,BN255,CO255),"")</f>
        <v>0</v>
      </c>
      <c r="L109" s="62">
        <f>IF(AND(OR(act_view_idx=3,act_view_idx=4),10&lt;=act_horizon_n),CHOOSE(act_scn_idx,AN255,BO255,CP255),"")</f>
        <v>0</v>
      </c>
      <c r="M109" s="62">
        <f>IF(AND(OR(act_view_idx=3,act_view_idx=4),11&lt;=act_horizon_n),CHOOSE(act_scn_idx,AO255,BP255,CQ255),"")</f>
        <v>0</v>
      </c>
      <c r="N109" s="62">
        <f>IF(AND(OR(act_view_idx=3,act_view_idx=4),12&lt;=act_horizon_n),CHOOSE(act_scn_idx,AP255,BQ255,CR255),"")</f>
        <v>0</v>
      </c>
      <c r="O109" s="62">
        <f>IF(AND(OR(act_view_idx=3,act_view_idx=4),13&lt;=act_horizon_n),CHOOSE(act_scn_idx,AQ255,BR255,CS255),"")</f>
        <v>0</v>
      </c>
      <c r="P109" s="62">
        <f>IF(AND(OR(act_view_idx=3,act_view_idx=4),14&lt;=act_horizon_n),CHOOSE(act_scn_idx,AR255,BS255,CT255),"")</f>
        <v>0</v>
      </c>
      <c r="Q109" s="62">
        <f>IF(AND(OR(act_view_idx=3,act_view_idx=4),15&lt;=act_horizon_n),CHOOSE(act_scn_idx,AS255,BT255,CU255),"")</f>
        <v>0</v>
      </c>
      <c r="R109" s="62">
        <f>IF(AND(OR(act_view_idx=3,act_view_idx=4),16&lt;=act_horizon_n),CHOOSE(act_scn_idx,AT255,BU255,CV255),"")</f>
        <v>0</v>
      </c>
      <c r="S109" s="62">
        <f>IF(AND(OR(act_view_idx=3,act_view_idx=4),17&lt;=act_horizon_n),CHOOSE(act_scn_idx,AU255,BV255,CW255),"")</f>
        <v>0</v>
      </c>
      <c r="T109" s="62">
        <f>IF(AND(OR(act_view_idx=3,act_view_idx=4),18&lt;=act_horizon_n),CHOOSE(act_scn_idx,AV255,BW255,CX255),"")</f>
        <v>0</v>
      </c>
      <c r="U109" s="62">
        <f>IF(AND(OR(act_view_idx=3,act_view_idx=4),19&lt;=act_horizon_n),CHOOSE(act_scn_idx,AW255,BX255,CY255),"")</f>
        <v>0</v>
      </c>
      <c r="V109" s="62">
        <f>IF(AND(OR(act_view_idx=3,act_view_idx=4),20&lt;=act_horizon_n),CHOOSE(act_scn_idx,AX255,BY255,CZ255),"")</f>
        <v>0</v>
      </c>
      <c r="W109" s="62">
        <f>IF(AND(OR(act_view_idx=3,act_view_idx=4),21&lt;=act_horizon_n),CHOOSE(act_scn_idx,AY255,BZ255,DA255),"")</f>
        <v>0</v>
      </c>
      <c r="X109" s="62">
        <f>IF(AND(OR(act_view_idx=3,act_view_idx=4),22&lt;=act_horizon_n),CHOOSE(act_scn_idx,AZ255,CA255,DB255),"")</f>
        <v>0</v>
      </c>
      <c r="Y109" s="62">
        <f>IF(AND(OR(act_view_idx=3,act_view_idx=4),23&lt;=act_horizon_n),CHOOSE(act_scn_idx,BA255,CB255,DC255),"")</f>
        <v>0</v>
      </c>
      <c r="Z109" s="62">
        <f>IF(AND(OR(act_view_idx=3,act_view_idx=4),24&lt;=act_horizon_n),CHOOSE(act_scn_idx,BB255,CC255,DD255),"")</f>
        <v>0</v>
      </c>
      <c r="AA109" s="1"/>
      <c r="AB109" s="63">
        <f>IF(OR(act_view_idx=3,act_view_idx=4),CHOOSE(act_scn_idx,BC255,CD255,DE255),"")</f>
        <v>0</v>
      </c>
      <c r="AC109" s="63">
        <f>IF(AND(OR(act_view_idx=3,act_view_idx=4),act_horizon_n&gt;=24),CHOOSE(act_scn_idx,BD255,CE255,DF255),"")</f>
        <v>0</v>
      </c>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c r="DH109"/>
    </row>
    <row r="110" spans="1:112" ht="20" customHeight="1" x14ac:dyDescent="0.2">
      <c r="A110" s="1"/>
      <c r="B110" s="66" t="str">
        <f>IF(OR(act_view_idx=3,act_view_idx=4),"TOTAL ASSETS","")</f>
        <v>TOTAL ASSETS</v>
      </c>
      <c r="C110" s="67">
        <f>IF(AND(OR(act_view_idx=3,act_view_idx=4),1&lt;=act_horizon_n),CHOOSE(act_scn_idx,AE256,BF256,CG256),"")</f>
        <v>0</v>
      </c>
      <c r="D110" s="67">
        <f>IF(AND(OR(act_view_idx=3,act_view_idx=4),2&lt;=act_horizon_n),CHOOSE(act_scn_idx,AF256,BG256,CH256),"")</f>
        <v>0</v>
      </c>
      <c r="E110" s="67">
        <f>IF(AND(OR(act_view_idx=3,act_view_idx=4),3&lt;=act_horizon_n),CHOOSE(act_scn_idx,AG256,BH256,CI256),"")</f>
        <v>0</v>
      </c>
      <c r="F110" s="67">
        <f>IF(AND(OR(act_view_idx=3,act_view_idx=4),4&lt;=act_horizon_n),CHOOSE(act_scn_idx,AH256,BI256,CJ256),"")</f>
        <v>0</v>
      </c>
      <c r="G110" s="67">
        <f>IF(AND(OR(act_view_idx=3,act_view_idx=4),5&lt;=act_horizon_n),CHOOSE(act_scn_idx,AI256,BJ256,CK256),"")</f>
        <v>0</v>
      </c>
      <c r="H110" s="67">
        <f>IF(AND(OR(act_view_idx=3,act_view_idx=4),6&lt;=act_horizon_n),CHOOSE(act_scn_idx,AJ256,BK256,CL256),"")</f>
        <v>0</v>
      </c>
      <c r="I110" s="67">
        <f>IF(AND(OR(act_view_idx=3,act_view_idx=4),7&lt;=act_horizon_n),CHOOSE(act_scn_idx,AK256,BL256,CM256),"")</f>
        <v>0</v>
      </c>
      <c r="J110" s="67">
        <f>IF(AND(OR(act_view_idx=3,act_view_idx=4),8&lt;=act_horizon_n),CHOOSE(act_scn_idx,AL256,BM256,CN256),"")</f>
        <v>0</v>
      </c>
      <c r="K110" s="67">
        <f>IF(AND(OR(act_view_idx=3,act_view_idx=4),9&lt;=act_horizon_n),CHOOSE(act_scn_idx,AM256,BN256,CO256),"")</f>
        <v>0</v>
      </c>
      <c r="L110" s="67">
        <f>IF(AND(OR(act_view_idx=3,act_view_idx=4),10&lt;=act_horizon_n),CHOOSE(act_scn_idx,AN256,BO256,CP256),"")</f>
        <v>0</v>
      </c>
      <c r="M110" s="67">
        <f>IF(AND(OR(act_view_idx=3,act_view_idx=4),11&lt;=act_horizon_n),CHOOSE(act_scn_idx,AO256,BP256,CQ256),"")</f>
        <v>0</v>
      </c>
      <c r="N110" s="67">
        <f>IF(AND(OR(act_view_idx=3,act_view_idx=4),12&lt;=act_horizon_n),CHOOSE(act_scn_idx,AP256,BQ256,CR256),"")</f>
        <v>0</v>
      </c>
      <c r="O110" s="67">
        <f>IF(AND(OR(act_view_idx=3,act_view_idx=4),13&lt;=act_horizon_n),CHOOSE(act_scn_idx,AQ256,BR256,CS256),"")</f>
        <v>0</v>
      </c>
      <c r="P110" s="67">
        <f>IF(AND(OR(act_view_idx=3,act_view_idx=4),14&lt;=act_horizon_n),CHOOSE(act_scn_idx,AR256,BS256,CT256),"")</f>
        <v>0</v>
      </c>
      <c r="Q110" s="67">
        <f>IF(AND(OR(act_view_idx=3,act_view_idx=4),15&lt;=act_horizon_n),CHOOSE(act_scn_idx,AS256,BT256,CU256),"")</f>
        <v>0</v>
      </c>
      <c r="R110" s="67">
        <f>IF(AND(OR(act_view_idx=3,act_view_idx=4),16&lt;=act_horizon_n),CHOOSE(act_scn_idx,AT256,BU256,CV256),"")</f>
        <v>0</v>
      </c>
      <c r="S110" s="67">
        <f>IF(AND(OR(act_view_idx=3,act_view_idx=4),17&lt;=act_horizon_n),CHOOSE(act_scn_idx,AU256,BV256,CW256),"")</f>
        <v>0</v>
      </c>
      <c r="T110" s="67">
        <f>IF(AND(OR(act_view_idx=3,act_view_idx=4),18&lt;=act_horizon_n),CHOOSE(act_scn_idx,AV256,BW256,CX256),"")</f>
        <v>0</v>
      </c>
      <c r="U110" s="67">
        <f>IF(AND(OR(act_view_idx=3,act_view_idx=4),19&lt;=act_horizon_n),CHOOSE(act_scn_idx,AW256,BX256,CY256),"")</f>
        <v>0</v>
      </c>
      <c r="V110" s="67">
        <f>IF(AND(OR(act_view_idx=3,act_view_idx=4),20&lt;=act_horizon_n),CHOOSE(act_scn_idx,AX256,BY256,CZ256),"")</f>
        <v>0</v>
      </c>
      <c r="W110" s="67">
        <f>IF(AND(OR(act_view_idx=3,act_view_idx=4),21&lt;=act_horizon_n),CHOOSE(act_scn_idx,AY256,BZ256,DA256),"")</f>
        <v>0</v>
      </c>
      <c r="X110" s="67">
        <f>IF(AND(OR(act_view_idx=3,act_view_idx=4),22&lt;=act_horizon_n),CHOOSE(act_scn_idx,AZ256,CA256,DB256),"")</f>
        <v>0</v>
      </c>
      <c r="Y110" s="67">
        <f>IF(AND(OR(act_view_idx=3,act_view_idx=4),23&lt;=act_horizon_n),CHOOSE(act_scn_idx,BA256,CB256,DC256),"")</f>
        <v>0</v>
      </c>
      <c r="Z110" s="67">
        <f>IF(AND(OR(act_view_idx=3,act_view_idx=4),24&lt;=act_horizon_n),CHOOSE(act_scn_idx,BB256,CC256,DD256),"")</f>
        <v>0</v>
      </c>
      <c r="AA110" s="1"/>
      <c r="AB110" s="67">
        <f>IF(OR(act_view_idx=3,act_view_idx=4),CHOOSE(act_scn_idx,BC256,CD256,DE256),"")</f>
        <v>0</v>
      </c>
      <c r="AC110" s="67">
        <f>IF(AND(OR(act_view_idx=3,act_view_idx=4),act_horizon_n&gt;=24),CHOOSE(act_scn_idx,BD256,CE256,DF256),"")</f>
        <v>0</v>
      </c>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c r="DH110"/>
    </row>
    <row r="111" spans="1:112" ht="20" customHeight="1" x14ac:dyDescent="0.2">
      <c r="A111" s="1"/>
      <c r="B111" s="61" t="str">
        <f>IF(OR(act_view_idx=3,act_view_idx=4),"LIABILITIES","")</f>
        <v>LIABILITIES</v>
      </c>
      <c r="C111" s="2"/>
      <c r="D111" s="2"/>
      <c r="E111" s="2"/>
      <c r="F111" s="2"/>
      <c r="G111" s="2"/>
      <c r="H111" s="2"/>
      <c r="I111" s="2"/>
      <c r="J111" s="2"/>
      <c r="K111" s="2"/>
      <c r="L111" s="2"/>
      <c r="M111" s="2"/>
      <c r="N111" s="2"/>
      <c r="O111" s="2"/>
      <c r="P111" s="2"/>
      <c r="Q111" s="2"/>
      <c r="R111" s="2"/>
      <c r="S111" s="2"/>
      <c r="T111" s="2"/>
      <c r="U111" s="2"/>
      <c r="V111" s="2"/>
      <c r="W111" s="2"/>
      <c r="X111" s="2"/>
      <c r="Y111" s="2"/>
      <c r="Z111" s="2"/>
      <c r="AA111" s="1"/>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c r="DH111"/>
    </row>
    <row r="112" spans="1:112" ht="20" customHeight="1" x14ac:dyDescent="0.2">
      <c r="A112" s="1"/>
      <c r="B112" s="22" t="str">
        <f>IF(OR(act_view_idx=3,act_view_idx=4),"   Accounts payable","")</f>
        <v xml:space="preserve">   Accounts payable</v>
      </c>
      <c r="C112" s="62">
        <f t="shared" ref="C112:C117" si="53">IF(AND(OR(act_view_idx=3,act_view_idx=4),1&lt;=act_horizon_n),CHOOSE(act_scn_idx,AE257,BF257,CG257),"")</f>
        <v>0</v>
      </c>
      <c r="D112" s="62">
        <f t="shared" ref="D112:D117" si="54">IF(AND(OR(act_view_idx=3,act_view_idx=4),2&lt;=act_horizon_n),CHOOSE(act_scn_idx,AF257,BG257,CH257),"")</f>
        <v>0</v>
      </c>
      <c r="E112" s="62">
        <f t="shared" ref="E112:E117" si="55">IF(AND(OR(act_view_idx=3,act_view_idx=4),3&lt;=act_horizon_n),CHOOSE(act_scn_idx,AG257,BH257,CI257),"")</f>
        <v>0</v>
      </c>
      <c r="F112" s="62">
        <f t="shared" ref="F112:F117" si="56">IF(AND(OR(act_view_idx=3,act_view_idx=4),4&lt;=act_horizon_n),CHOOSE(act_scn_idx,AH257,BI257,CJ257),"")</f>
        <v>0</v>
      </c>
      <c r="G112" s="62">
        <f t="shared" ref="G112:G117" si="57">IF(AND(OR(act_view_idx=3,act_view_idx=4),5&lt;=act_horizon_n),CHOOSE(act_scn_idx,AI257,BJ257,CK257),"")</f>
        <v>0</v>
      </c>
      <c r="H112" s="62">
        <f t="shared" ref="H112:H117" si="58">IF(AND(OR(act_view_idx=3,act_view_idx=4),6&lt;=act_horizon_n),CHOOSE(act_scn_idx,AJ257,BK257,CL257),"")</f>
        <v>0</v>
      </c>
      <c r="I112" s="62">
        <f t="shared" ref="I112:I117" si="59">IF(AND(OR(act_view_idx=3,act_view_idx=4),7&lt;=act_horizon_n),CHOOSE(act_scn_idx,AK257,BL257,CM257),"")</f>
        <v>0</v>
      </c>
      <c r="J112" s="62">
        <f t="shared" ref="J112:J117" si="60">IF(AND(OR(act_view_idx=3,act_view_idx=4),8&lt;=act_horizon_n),CHOOSE(act_scn_idx,AL257,BM257,CN257),"")</f>
        <v>0</v>
      </c>
      <c r="K112" s="62">
        <f t="shared" ref="K112:K117" si="61">IF(AND(OR(act_view_idx=3,act_view_idx=4),9&lt;=act_horizon_n),CHOOSE(act_scn_idx,AM257,BN257,CO257),"")</f>
        <v>0</v>
      </c>
      <c r="L112" s="62">
        <f t="shared" ref="L112:L117" si="62">IF(AND(OR(act_view_idx=3,act_view_idx=4),10&lt;=act_horizon_n),CHOOSE(act_scn_idx,AN257,BO257,CP257),"")</f>
        <v>0</v>
      </c>
      <c r="M112" s="62">
        <f t="shared" ref="M112:M117" si="63">IF(AND(OR(act_view_idx=3,act_view_idx=4),11&lt;=act_horizon_n),CHOOSE(act_scn_idx,AO257,BP257,CQ257),"")</f>
        <v>0</v>
      </c>
      <c r="N112" s="62">
        <f t="shared" ref="N112:N117" si="64">IF(AND(OR(act_view_idx=3,act_view_idx=4),12&lt;=act_horizon_n),CHOOSE(act_scn_idx,AP257,BQ257,CR257),"")</f>
        <v>0</v>
      </c>
      <c r="O112" s="62">
        <f t="shared" ref="O112:O117" si="65">IF(AND(OR(act_view_idx=3,act_view_idx=4),13&lt;=act_horizon_n),CHOOSE(act_scn_idx,AQ257,BR257,CS257),"")</f>
        <v>0</v>
      </c>
      <c r="P112" s="62">
        <f t="shared" ref="P112:P117" si="66">IF(AND(OR(act_view_idx=3,act_view_idx=4),14&lt;=act_horizon_n),CHOOSE(act_scn_idx,AR257,BS257,CT257),"")</f>
        <v>0</v>
      </c>
      <c r="Q112" s="62">
        <f t="shared" ref="Q112:Q117" si="67">IF(AND(OR(act_view_idx=3,act_view_idx=4),15&lt;=act_horizon_n),CHOOSE(act_scn_idx,AS257,BT257,CU257),"")</f>
        <v>0</v>
      </c>
      <c r="R112" s="62">
        <f t="shared" ref="R112:R117" si="68">IF(AND(OR(act_view_idx=3,act_view_idx=4),16&lt;=act_horizon_n),CHOOSE(act_scn_idx,AT257,BU257,CV257),"")</f>
        <v>0</v>
      </c>
      <c r="S112" s="62">
        <f t="shared" ref="S112:S117" si="69">IF(AND(OR(act_view_idx=3,act_view_idx=4),17&lt;=act_horizon_n),CHOOSE(act_scn_idx,AU257,BV257,CW257),"")</f>
        <v>0</v>
      </c>
      <c r="T112" s="62">
        <f t="shared" ref="T112:T117" si="70">IF(AND(OR(act_view_idx=3,act_view_idx=4),18&lt;=act_horizon_n),CHOOSE(act_scn_idx,AV257,BW257,CX257),"")</f>
        <v>0</v>
      </c>
      <c r="U112" s="62">
        <f t="shared" ref="U112:U117" si="71">IF(AND(OR(act_view_idx=3,act_view_idx=4),19&lt;=act_horizon_n),CHOOSE(act_scn_idx,AW257,BX257,CY257),"")</f>
        <v>0</v>
      </c>
      <c r="V112" s="62">
        <f t="shared" ref="V112:V117" si="72">IF(AND(OR(act_view_idx=3,act_view_idx=4),20&lt;=act_horizon_n),CHOOSE(act_scn_idx,AX257,BY257,CZ257),"")</f>
        <v>0</v>
      </c>
      <c r="W112" s="62">
        <f t="shared" ref="W112:W117" si="73">IF(AND(OR(act_view_idx=3,act_view_idx=4),21&lt;=act_horizon_n),CHOOSE(act_scn_idx,AY257,BZ257,DA257),"")</f>
        <v>0</v>
      </c>
      <c r="X112" s="62">
        <f t="shared" ref="X112:X117" si="74">IF(AND(OR(act_view_idx=3,act_view_idx=4),22&lt;=act_horizon_n),CHOOSE(act_scn_idx,AZ257,CA257,DB257),"")</f>
        <v>0</v>
      </c>
      <c r="Y112" s="62">
        <f t="shared" ref="Y112:Y117" si="75">IF(AND(OR(act_view_idx=3,act_view_idx=4),23&lt;=act_horizon_n),CHOOSE(act_scn_idx,BA257,CB257,DC257),"")</f>
        <v>0</v>
      </c>
      <c r="Z112" s="62">
        <f t="shared" ref="Z112:Z117" si="76">IF(AND(OR(act_view_idx=3,act_view_idx=4),24&lt;=act_horizon_n),CHOOSE(act_scn_idx,BB257,CC257,DD257),"")</f>
        <v>0</v>
      </c>
      <c r="AA112" s="1"/>
      <c r="AB112" s="63">
        <f t="shared" ref="AB112:AB117" si="77">IF(OR(act_view_idx=3,act_view_idx=4),CHOOSE(act_scn_idx,BC257,CD257,DE257),"")</f>
        <v>0</v>
      </c>
      <c r="AC112" s="63">
        <f t="shared" ref="AC112:AC117" si="78">IF(AND(OR(act_view_idx=3,act_view_idx=4),act_horizon_n&gt;=24),CHOOSE(act_scn_idx,BD257,CE257,DF257),"")</f>
        <v>0</v>
      </c>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c r="DH112"/>
    </row>
    <row r="113" spans="1:112" ht="20" customHeight="1" x14ac:dyDescent="0.2">
      <c r="A113" s="1"/>
      <c r="B113" s="22" t="str">
        <f>IF(OR(act_view_idx=3,act_view_idx=4),"   Other current liabilities","")</f>
        <v xml:space="preserve">   Other current liabilities</v>
      </c>
      <c r="C113" s="62">
        <f t="shared" si="53"/>
        <v>0</v>
      </c>
      <c r="D113" s="62">
        <f t="shared" si="54"/>
        <v>0</v>
      </c>
      <c r="E113" s="62">
        <f t="shared" si="55"/>
        <v>0</v>
      </c>
      <c r="F113" s="62">
        <f t="shared" si="56"/>
        <v>0</v>
      </c>
      <c r="G113" s="62">
        <f t="shared" si="57"/>
        <v>0</v>
      </c>
      <c r="H113" s="62">
        <f t="shared" si="58"/>
        <v>0</v>
      </c>
      <c r="I113" s="62">
        <f t="shared" si="59"/>
        <v>0</v>
      </c>
      <c r="J113" s="62">
        <f t="shared" si="60"/>
        <v>0</v>
      </c>
      <c r="K113" s="62">
        <f t="shared" si="61"/>
        <v>0</v>
      </c>
      <c r="L113" s="62">
        <f t="shared" si="62"/>
        <v>0</v>
      </c>
      <c r="M113" s="62">
        <f t="shared" si="63"/>
        <v>0</v>
      </c>
      <c r="N113" s="62">
        <f t="shared" si="64"/>
        <v>0</v>
      </c>
      <c r="O113" s="62">
        <f t="shared" si="65"/>
        <v>0</v>
      </c>
      <c r="P113" s="62">
        <f t="shared" si="66"/>
        <v>0</v>
      </c>
      <c r="Q113" s="62">
        <f t="shared" si="67"/>
        <v>0</v>
      </c>
      <c r="R113" s="62">
        <f t="shared" si="68"/>
        <v>0</v>
      </c>
      <c r="S113" s="62">
        <f t="shared" si="69"/>
        <v>0</v>
      </c>
      <c r="T113" s="62">
        <f t="shared" si="70"/>
        <v>0</v>
      </c>
      <c r="U113" s="62">
        <f t="shared" si="71"/>
        <v>0</v>
      </c>
      <c r="V113" s="62">
        <f t="shared" si="72"/>
        <v>0</v>
      </c>
      <c r="W113" s="62">
        <f t="shared" si="73"/>
        <v>0</v>
      </c>
      <c r="X113" s="62">
        <f t="shared" si="74"/>
        <v>0</v>
      </c>
      <c r="Y113" s="62">
        <f t="shared" si="75"/>
        <v>0</v>
      </c>
      <c r="Z113" s="62">
        <f t="shared" si="76"/>
        <v>0</v>
      </c>
      <c r="AA113" s="1"/>
      <c r="AB113" s="63">
        <f t="shared" si="77"/>
        <v>0</v>
      </c>
      <c r="AC113" s="63">
        <f t="shared" si="78"/>
        <v>0</v>
      </c>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c r="DH113"/>
    </row>
    <row r="114" spans="1:112" ht="20" customHeight="1" x14ac:dyDescent="0.2">
      <c r="A114" s="1"/>
      <c r="B114" s="22" t="str">
        <f>IF(OR(act_view_idx=3,act_view_idx=4),"   Tax payable","")</f>
        <v xml:space="preserve">   Tax payable</v>
      </c>
      <c r="C114" s="62">
        <f t="shared" si="53"/>
        <v>0</v>
      </c>
      <c r="D114" s="62">
        <f t="shared" si="54"/>
        <v>0</v>
      </c>
      <c r="E114" s="62">
        <f t="shared" si="55"/>
        <v>0</v>
      </c>
      <c r="F114" s="62">
        <f t="shared" si="56"/>
        <v>0</v>
      </c>
      <c r="G114" s="62">
        <f t="shared" si="57"/>
        <v>0</v>
      </c>
      <c r="H114" s="62">
        <f t="shared" si="58"/>
        <v>0</v>
      </c>
      <c r="I114" s="62">
        <f t="shared" si="59"/>
        <v>0</v>
      </c>
      <c r="J114" s="62">
        <f t="shared" si="60"/>
        <v>0</v>
      </c>
      <c r="K114" s="62">
        <f t="shared" si="61"/>
        <v>0</v>
      </c>
      <c r="L114" s="62">
        <f t="shared" si="62"/>
        <v>0</v>
      </c>
      <c r="M114" s="62">
        <f t="shared" si="63"/>
        <v>0</v>
      </c>
      <c r="N114" s="62">
        <f t="shared" si="64"/>
        <v>0</v>
      </c>
      <c r="O114" s="62">
        <f t="shared" si="65"/>
        <v>0</v>
      </c>
      <c r="P114" s="62">
        <f t="shared" si="66"/>
        <v>0</v>
      </c>
      <c r="Q114" s="62">
        <f t="shared" si="67"/>
        <v>0</v>
      </c>
      <c r="R114" s="62">
        <f t="shared" si="68"/>
        <v>0</v>
      </c>
      <c r="S114" s="62">
        <f t="shared" si="69"/>
        <v>0</v>
      </c>
      <c r="T114" s="62">
        <f t="shared" si="70"/>
        <v>0</v>
      </c>
      <c r="U114" s="62">
        <f t="shared" si="71"/>
        <v>0</v>
      </c>
      <c r="V114" s="62">
        <f t="shared" si="72"/>
        <v>0</v>
      </c>
      <c r="W114" s="62">
        <f t="shared" si="73"/>
        <v>0</v>
      </c>
      <c r="X114" s="62">
        <f t="shared" si="74"/>
        <v>0</v>
      </c>
      <c r="Y114" s="62">
        <f t="shared" si="75"/>
        <v>0</v>
      </c>
      <c r="Z114" s="62">
        <f t="shared" si="76"/>
        <v>0</v>
      </c>
      <c r="AA114" s="1"/>
      <c r="AB114" s="63">
        <f t="shared" si="77"/>
        <v>0</v>
      </c>
      <c r="AC114" s="63">
        <f t="shared" si="78"/>
        <v>0</v>
      </c>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c r="DH114"/>
    </row>
    <row r="115" spans="1:112" ht="20" customHeight="1" x14ac:dyDescent="0.2">
      <c r="A115" s="1"/>
      <c r="B115" s="64" t="str">
        <f>IF(OR(act_view_idx=3,act_view_idx=4),"Total current liabilities","")</f>
        <v>Total current liabilities</v>
      </c>
      <c r="C115" s="65">
        <f t="shared" si="53"/>
        <v>0</v>
      </c>
      <c r="D115" s="65">
        <f t="shared" si="54"/>
        <v>0</v>
      </c>
      <c r="E115" s="65">
        <f t="shared" si="55"/>
        <v>0</v>
      </c>
      <c r="F115" s="65">
        <f t="shared" si="56"/>
        <v>0</v>
      </c>
      <c r="G115" s="65">
        <f t="shared" si="57"/>
        <v>0</v>
      </c>
      <c r="H115" s="65">
        <f t="shared" si="58"/>
        <v>0</v>
      </c>
      <c r="I115" s="65">
        <f t="shared" si="59"/>
        <v>0</v>
      </c>
      <c r="J115" s="65">
        <f t="shared" si="60"/>
        <v>0</v>
      </c>
      <c r="K115" s="65">
        <f t="shared" si="61"/>
        <v>0</v>
      </c>
      <c r="L115" s="65">
        <f t="shared" si="62"/>
        <v>0</v>
      </c>
      <c r="M115" s="65">
        <f t="shared" si="63"/>
        <v>0</v>
      </c>
      <c r="N115" s="65">
        <f t="shared" si="64"/>
        <v>0</v>
      </c>
      <c r="O115" s="65">
        <f t="shared" si="65"/>
        <v>0</v>
      </c>
      <c r="P115" s="65">
        <f t="shared" si="66"/>
        <v>0</v>
      </c>
      <c r="Q115" s="65">
        <f t="shared" si="67"/>
        <v>0</v>
      </c>
      <c r="R115" s="65">
        <f t="shared" si="68"/>
        <v>0</v>
      </c>
      <c r="S115" s="65">
        <f t="shared" si="69"/>
        <v>0</v>
      </c>
      <c r="T115" s="65">
        <f t="shared" si="70"/>
        <v>0</v>
      </c>
      <c r="U115" s="65">
        <f t="shared" si="71"/>
        <v>0</v>
      </c>
      <c r="V115" s="65">
        <f t="shared" si="72"/>
        <v>0</v>
      </c>
      <c r="W115" s="65">
        <f t="shared" si="73"/>
        <v>0</v>
      </c>
      <c r="X115" s="65">
        <f t="shared" si="74"/>
        <v>0</v>
      </c>
      <c r="Y115" s="65">
        <f t="shared" si="75"/>
        <v>0</v>
      </c>
      <c r="Z115" s="65">
        <f t="shared" si="76"/>
        <v>0</v>
      </c>
      <c r="AA115" s="1"/>
      <c r="AB115" s="65">
        <f t="shared" si="77"/>
        <v>0</v>
      </c>
      <c r="AC115" s="65">
        <f t="shared" si="78"/>
        <v>0</v>
      </c>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c r="DC115" s="2"/>
      <c r="DD115" s="2"/>
      <c r="DE115" s="2"/>
      <c r="DF115" s="2"/>
      <c r="DG115"/>
      <c r="DH115"/>
    </row>
    <row r="116" spans="1:112" ht="20" customHeight="1" x14ac:dyDescent="0.2">
      <c r="A116" s="1"/>
      <c r="B116" s="22" t="str">
        <f>IF(OR(act_view_idx=3,act_view_idx=4),"   Interest-bearing debt","")</f>
        <v xml:space="preserve">   Interest-bearing debt</v>
      </c>
      <c r="C116" s="62">
        <f t="shared" si="53"/>
        <v>0</v>
      </c>
      <c r="D116" s="62">
        <f t="shared" si="54"/>
        <v>0</v>
      </c>
      <c r="E116" s="62">
        <f t="shared" si="55"/>
        <v>0</v>
      </c>
      <c r="F116" s="62">
        <f t="shared" si="56"/>
        <v>0</v>
      </c>
      <c r="G116" s="62">
        <f t="shared" si="57"/>
        <v>0</v>
      </c>
      <c r="H116" s="62">
        <f t="shared" si="58"/>
        <v>0</v>
      </c>
      <c r="I116" s="62">
        <f t="shared" si="59"/>
        <v>0</v>
      </c>
      <c r="J116" s="62">
        <f t="shared" si="60"/>
        <v>0</v>
      </c>
      <c r="K116" s="62">
        <f t="shared" si="61"/>
        <v>0</v>
      </c>
      <c r="L116" s="62">
        <f t="shared" si="62"/>
        <v>0</v>
      </c>
      <c r="M116" s="62">
        <f t="shared" si="63"/>
        <v>0</v>
      </c>
      <c r="N116" s="62">
        <f t="shared" si="64"/>
        <v>0</v>
      </c>
      <c r="O116" s="62">
        <f t="shared" si="65"/>
        <v>0</v>
      </c>
      <c r="P116" s="62">
        <f t="shared" si="66"/>
        <v>0</v>
      </c>
      <c r="Q116" s="62">
        <f t="shared" si="67"/>
        <v>0</v>
      </c>
      <c r="R116" s="62">
        <f t="shared" si="68"/>
        <v>0</v>
      </c>
      <c r="S116" s="62">
        <f t="shared" si="69"/>
        <v>0</v>
      </c>
      <c r="T116" s="62">
        <f t="shared" si="70"/>
        <v>0</v>
      </c>
      <c r="U116" s="62">
        <f t="shared" si="71"/>
        <v>0</v>
      </c>
      <c r="V116" s="62">
        <f t="shared" si="72"/>
        <v>0</v>
      </c>
      <c r="W116" s="62">
        <f t="shared" si="73"/>
        <v>0</v>
      </c>
      <c r="X116" s="62">
        <f t="shared" si="74"/>
        <v>0</v>
      </c>
      <c r="Y116" s="62">
        <f t="shared" si="75"/>
        <v>0</v>
      </c>
      <c r="Z116" s="62">
        <f t="shared" si="76"/>
        <v>0</v>
      </c>
      <c r="AA116" s="1"/>
      <c r="AB116" s="63">
        <f t="shared" si="77"/>
        <v>0</v>
      </c>
      <c r="AC116" s="63">
        <f t="shared" si="78"/>
        <v>0</v>
      </c>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c r="DH116"/>
    </row>
    <row r="117" spans="1:112" ht="20" customHeight="1" x14ac:dyDescent="0.2">
      <c r="A117" s="1"/>
      <c r="B117" s="64" t="str">
        <f>IF(OR(act_view_idx=3,act_view_idx=4),"Total liabilities","")</f>
        <v>Total liabilities</v>
      </c>
      <c r="C117" s="65">
        <f t="shared" si="53"/>
        <v>0</v>
      </c>
      <c r="D117" s="65">
        <f t="shared" si="54"/>
        <v>0</v>
      </c>
      <c r="E117" s="65">
        <f t="shared" si="55"/>
        <v>0</v>
      </c>
      <c r="F117" s="65">
        <f t="shared" si="56"/>
        <v>0</v>
      </c>
      <c r="G117" s="65">
        <f t="shared" si="57"/>
        <v>0</v>
      </c>
      <c r="H117" s="65">
        <f t="shared" si="58"/>
        <v>0</v>
      </c>
      <c r="I117" s="65">
        <f t="shared" si="59"/>
        <v>0</v>
      </c>
      <c r="J117" s="65">
        <f t="shared" si="60"/>
        <v>0</v>
      </c>
      <c r="K117" s="65">
        <f t="shared" si="61"/>
        <v>0</v>
      </c>
      <c r="L117" s="65">
        <f t="shared" si="62"/>
        <v>0</v>
      </c>
      <c r="M117" s="65">
        <f t="shared" si="63"/>
        <v>0</v>
      </c>
      <c r="N117" s="65">
        <f t="shared" si="64"/>
        <v>0</v>
      </c>
      <c r="O117" s="65">
        <f t="shared" si="65"/>
        <v>0</v>
      </c>
      <c r="P117" s="65">
        <f t="shared" si="66"/>
        <v>0</v>
      </c>
      <c r="Q117" s="65">
        <f t="shared" si="67"/>
        <v>0</v>
      </c>
      <c r="R117" s="65">
        <f t="shared" si="68"/>
        <v>0</v>
      </c>
      <c r="S117" s="65">
        <f t="shared" si="69"/>
        <v>0</v>
      </c>
      <c r="T117" s="65">
        <f t="shared" si="70"/>
        <v>0</v>
      </c>
      <c r="U117" s="65">
        <f t="shared" si="71"/>
        <v>0</v>
      </c>
      <c r="V117" s="65">
        <f t="shared" si="72"/>
        <v>0</v>
      </c>
      <c r="W117" s="65">
        <f t="shared" si="73"/>
        <v>0</v>
      </c>
      <c r="X117" s="65">
        <f t="shared" si="74"/>
        <v>0</v>
      </c>
      <c r="Y117" s="65">
        <f t="shared" si="75"/>
        <v>0</v>
      </c>
      <c r="Z117" s="65">
        <f t="shared" si="76"/>
        <v>0</v>
      </c>
      <c r="AA117" s="1"/>
      <c r="AB117" s="65">
        <f t="shared" si="77"/>
        <v>0</v>
      </c>
      <c r="AC117" s="65">
        <f t="shared" si="78"/>
        <v>0</v>
      </c>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c r="DC117" s="2"/>
      <c r="DD117" s="2"/>
      <c r="DE117" s="2"/>
      <c r="DF117" s="2"/>
      <c r="DG117"/>
      <c r="DH117"/>
    </row>
    <row r="118" spans="1:112" ht="20" customHeight="1" x14ac:dyDescent="0.2">
      <c r="A118" s="1"/>
      <c r="B118" s="61" t="str">
        <f>IF(OR(act_view_idx=3,act_view_idx=4),"EQUITY","")</f>
        <v>EQUITY</v>
      </c>
      <c r="C118" s="2"/>
      <c r="D118" s="2"/>
      <c r="E118" s="2"/>
      <c r="F118" s="2"/>
      <c r="G118" s="2"/>
      <c r="H118" s="2"/>
      <c r="I118" s="2"/>
      <c r="J118" s="2"/>
      <c r="K118" s="2"/>
      <c r="L118" s="2"/>
      <c r="M118" s="2"/>
      <c r="N118" s="2"/>
      <c r="O118" s="2"/>
      <c r="P118" s="2"/>
      <c r="Q118" s="2"/>
      <c r="R118" s="2"/>
      <c r="S118" s="2"/>
      <c r="T118" s="2"/>
      <c r="U118" s="2"/>
      <c r="V118" s="2"/>
      <c r="W118" s="2"/>
      <c r="X118" s="2"/>
      <c r="Y118" s="2"/>
      <c r="Z118" s="2"/>
      <c r="AA118" s="1"/>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c r="DH118"/>
    </row>
    <row r="119" spans="1:112" ht="20" customHeight="1" x14ac:dyDescent="0.2">
      <c r="A119" s="1"/>
      <c r="B119" s="22" t="str">
        <f>IF(OR(act_view_idx=3,act_view_idx=4),"   Share capital","")</f>
        <v xml:space="preserve">   Share capital</v>
      </c>
      <c r="C119" s="62">
        <f>IF(AND(OR(act_view_idx=3,act_view_idx=4),1&lt;=act_horizon_n),CHOOSE(act_scn_idx,AE265,BF265,CG265),"")</f>
        <v>0</v>
      </c>
      <c r="D119" s="62">
        <f>IF(AND(OR(act_view_idx=3,act_view_idx=4),2&lt;=act_horizon_n),CHOOSE(act_scn_idx,AF265,BG265,CH265),"")</f>
        <v>0</v>
      </c>
      <c r="E119" s="62">
        <f>IF(AND(OR(act_view_idx=3,act_view_idx=4),3&lt;=act_horizon_n),CHOOSE(act_scn_idx,AG265,BH265,CI265),"")</f>
        <v>0</v>
      </c>
      <c r="F119" s="62">
        <f>IF(AND(OR(act_view_idx=3,act_view_idx=4),4&lt;=act_horizon_n),CHOOSE(act_scn_idx,AH265,BI265,CJ265),"")</f>
        <v>0</v>
      </c>
      <c r="G119" s="62">
        <f>IF(AND(OR(act_view_idx=3,act_view_idx=4),5&lt;=act_horizon_n),CHOOSE(act_scn_idx,AI265,BJ265,CK265),"")</f>
        <v>0</v>
      </c>
      <c r="H119" s="62">
        <f>IF(AND(OR(act_view_idx=3,act_view_idx=4),6&lt;=act_horizon_n),CHOOSE(act_scn_idx,AJ265,BK265,CL265),"")</f>
        <v>0</v>
      </c>
      <c r="I119" s="62">
        <f>IF(AND(OR(act_view_idx=3,act_view_idx=4),7&lt;=act_horizon_n),CHOOSE(act_scn_idx,AK265,BL265,CM265),"")</f>
        <v>0</v>
      </c>
      <c r="J119" s="62">
        <f>IF(AND(OR(act_view_idx=3,act_view_idx=4),8&lt;=act_horizon_n),CHOOSE(act_scn_idx,AL265,BM265,CN265),"")</f>
        <v>0</v>
      </c>
      <c r="K119" s="62">
        <f>IF(AND(OR(act_view_idx=3,act_view_idx=4),9&lt;=act_horizon_n),CHOOSE(act_scn_idx,AM265,BN265,CO265),"")</f>
        <v>0</v>
      </c>
      <c r="L119" s="62">
        <f>IF(AND(OR(act_view_idx=3,act_view_idx=4),10&lt;=act_horizon_n),CHOOSE(act_scn_idx,AN265,BO265,CP265),"")</f>
        <v>0</v>
      </c>
      <c r="M119" s="62">
        <f>IF(AND(OR(act_view_idx=3,act_view_idx=4),11&lt;=act_horizon_n),CHOOSE(act_scn_idx,AO265,BP265,CQ265),"")</f>
        <v>0</v>
      </c>
      <c r="N119" s="62">
        <f>IF(AND(OR(act_view_idx=3,act_view_idx=4),12&lt;=act_horizon_n),CHOOSE(act_scn_idx,AP265,BQ265,CR265),"")</f>
        <v>0</v>
      </c>
      <c r="O119" s="62">
        <f>IF(AND(OR(act_view_idx=3,act_view_idx=4),13&lt;=act_horizon_n),CHOOSE(act_scn_idx,AQ265,BR265,CS265),"")</f>
        <v>0</v>
      </c>
      <c r="P119" s="62">
        <f>IF(AND(OR(act_view_idx=3,act_view_idx=4),14&lt;=act_horizon_n),CHOOSE(act_scn_idx,AR265,BS265,CT265),"")</f>
        <v>0</v>
      </c>
      <c r="Q119" s="62">
        <f>IF(AND(OR(act_view_idx=3,act_view_idx=4),15&lt;=act_horizon_n),CHOOSE(act_scn_idx,AS265,BT265,CU265),"")</f>
        <v>0</v>
      </c>
      <c r="R119" s="62">
        <f>IF(AND(OR(act_view_idx=3,act_view_idx=4),16&lt;=act_horizon_n),CHOOSE(act_scn_idx,AT265,BU265,CV265),"")</f>
        <v>0</v>
      </c>
      <c r="S119" s="62">
        <f>IF(AND(OR(act_view_idx=3,act_view_idx=4),17&lt;=act_horizon_n),CHOOSE(act_scn_idx,AU265,BV265,CW265),"")</f>
        <v>0</v>
      </c>
      <c r="T119" s="62">
        <f>IF(AND(OR(act_view_idx=3,act_view_idx=4),18&lt;=act_horizon_n),CHOOSE(act_scn_idx,AV265,BW265,CX265),"")</f>
        <v>0</v>
      </c>
      <c r="U119" s="62">
        <f>IF(AND(OR(act_view_idx=3,act_view_idx=4),19&lt;=act_horizon_n),CHOOSE(act_scn_idx,AW265,BX265,CY265),"")</f>
        <v>0</v>
      </c>
      <c r="V119" s="62">
        <f>IF(AND(OR(act_view_idx=3,act_view_idx=4),20&lt;=act_horizon_n),CHOOSE(act_scn_idx,AX265,BY265,CZ265),"")</f>
        <v>0</v>
      </c>
      <c r="W119" s="62">
        <f>IF(AND(OR(act_view_idx=3,act_view_idx=4),21&lt;=act_horizon_n),CHOOSE(act_scn_idx,AY265,BZ265,DA265),"")</f>
        <v>0</v>
      </c>
      <c r="X119" s="62">
        <f>IF(AND(OR(act_view_idx=3,act_view_idx=4),22&lt;=act_horizon_n),CHOOSE(act_scn_idx,AZ265,CA265,DB265),"")</f>
        <v>0</v>
      </c>
      <c r="Y119" s="62">
        <f>IF(AND(OR(act_view_idx=3,act_view_idx=4),23&lt;=act_horizon_n),CHOOSE(act_scn_idx,BA265,CB265,DC265),"")</f>
        <v>0</v>
      </c>
      <c r="Z119" s="62">
        <f>IF(AND(OR(act_view_idx=3,act_view_idx=4),24&lt;=act_horizon_n),CHOOSE(act_scn_idx,BB265,CC265,DD265),"")</f>
        <v>0</v>
      </c>
      <c r="AA119" s="1"/>
      <c r="AB119" s="63">
        <f>IF(OR(act_view_idx=3,act_view_idx=4),CHOOSE(act_scn_idx,BC265,CD265,DE265),"")</f>
        <v>0</v>
      </c>
      <c r="AC119" s="63">
        <f>IF(AND(OR(act_view_idx=3,act_view_idx=4),act_horizon_n&gt;=24),CHOOSE(act_scn_idx,BD265,CE265,DF265),"")</f>
        <v>0</v>
      </c>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c r="DH119"/>
    </row>
    <row r="120" spans="1:112" ht="20" customHeight="1" x14ac:dyDescent="0.2">
      <c r="A120" s="1"/>
      <c r="B120" s="22" t="str">
        <f>IF(OR(act_view_idx=3,act_view_idx=4),"   Retained earnings","")</f>
        <v xml:space="preserve">   Retained earnings</v>
      </c>
      <c r="C120" s="62">
        <f>IF(AND(OR(act_view_idx=3,act_view_idx=4),1&lt;=act_horizon_n),CHOOSE(act_scn_idx,AE268,BF268,CG268),"")</f>
        <v>0</v>
      </c>
      <c r="D120" s="62">
        <f>IF(AND(OR(act_view_idx=3,act_view_idx=4),2&lt;=act_horizon_n),CHOOSE(act_scn_idx,AF268,BG268,CH268),"")</f>
        <v>0</v>
      </c>
      <c r="E120" s="62">
        <f>IF(AND(OR(act_view_idx=3,act_view_idx=4),3&lt;=act_horizon_n),CHOOSE(act_scn_idx,AG268,BH268,CI268),"")</f>
        <v>0</v>
      </c>
      <c r="F120" s="62">
        <f>IF(AND(OR(act_view_idx=3,act_view_idx=4),4&lt;=act_horizon_n),CHOOSE(act_scn_idx,AH268,BI268,CJ268),"")</f>
        <v>0</v>
      </c>
      <c r="G120" s="62">
        <f>IF(AND(OR(act_view_idx=3,act_view_idx=4),5&lt;=act_horizon_n),CHOOSE(act_scn_idx,AI268,BJ268,CK268),"")</f>
        <v>0</v>
      </c>
      <c r="H120" s="62">
        <f>IF(AND(OR(act_view_idx=3,act_view_idx=4),6&lt;=act_horizon_n),CHOOSE(act_scn_idx,AJ268,BK268,CL268),"")</f>
        <v>0</v>
      </c>
      <c r="I120" s="62">
        <f>IF(AND(OR(act_view_idx=3,act_view_idx=4),7&lt;=act_horizon_n),CHOOSE(act_scn_idx,AK268,BL268,CM268),"")</f>
        <v>0</v>
      </c>
      <c r="J120" s="62">
        <f>IF(AND(OR(act_view_idx=3,act_view_idx=4),8&lt;=act_horizon_n),CHOOSE(act_scn_idx,AL268,BM268,CN268),"")</f>
        <v>0</v>
      </c>
      <c r="K120" s="62">
        <f>IF(AND(OR(act_view_idx=3,act_view_idx=4),9&lt;=act_horizon_n),CHOOSE(act_scn_idx,AM268,BN268,CO268),"")</f>
        <v>0</v>
      </c>
      <c r="L120" s="62">
        <f>IF(AND(OR(act_view_idx=3,act_view_idx=4),10&lt;=act_horizon_n),CHOOSE(act_scn_idx,AN268,BO268,CP268),"")</f>
        <v>0</v>
      </c>
      <c r="M120" s="62">
        <f>IF(AND(OR(act_view_idx=3,act_view_idx=4),11&lt;=act_horizon_n),CHOOSE(act_scn_idx,AO268,BP268,CQ268),"")</f>
        <v>0</v>
      </c>
      <c r="N120" s="62">
        <f>IF(AND(OR(act_view_idx=3,act_view_idx=4),12&lt;=act_horizon_n),CHOOSE(act_scn_idx,AP268,BQ268,CR268),"")</f>
        <v>0</v>
      </c>
      <c r="O120" s="62">
        <f>IF(AND(OR(act_view_idx=3,act_view_idx=4),13&lt;=act_horizon_n),CHOOSE(act_scn_idx,AQ268,BR268,CS268),"")</f>
        <v>0</v>
      </c>
      <c r="P120" s="62">
        <f>IF(AND(OR(act_view_idx=3,act_view_idx=4),14&lt;=act_horizon_n),CHOOSE(act_scn_idx,AR268,BS268,CT268),"")</f>
        <v>0</v>
      </c>
      <c r="Q120" s="62">
        <f>IF(AND(OR(act_view_idx=3,act_view_idx=4),15&lt;=act_horizon_n),CHOOSE(act_scn_idx,AS268,BT268,CU268),"")</f>
        <v>0</v>
      </c>
      <c r="R120" s="62">
        <f>IF(AND(OR(act_view_idx=3,act_view_idx=4),16&lt;=act_horizon_n),CHOOSE(act_scn_idx,AT268,BU268,CV268),"")</f>
        <v>0</v>
      </c>
      <c r="S120" s="62">
        <f>IF(AND(OR(act_view_idx=3,act_view_idx=4),17&lt;=act_horizon_n),CHOOSE(act_scn_idx,AU268,BV268,CW268),"")</f>
        <v>0</v>
      </c>
      <c r="T120" s="62">
        <f>IF(AND(OR(act_view_idx=3,act_view_idx=4),18&lt;=act_horizon_n),CHOOSE(act_scn_idx,AV268,BW268,CX268),"")</f>
        <v>0</v>
      </c>
      <c r="U120" s="62">
        <f>IF(AND(OR(act_view_idx=3,act_view_idx=4),19&lt;=act_horizon_n),CHOOSE(act_scn_idx,AW268,BX268,CY268),"")</f>
        <v>0</v>
      </c>
      <c r="V120" s="62">
        <f>IF(AND(OR(act_view_idx=3,act_view_idx=4),20&lt;=act_horizon_n),CHOOSE(act_scn_idx,AX268,BY268,CZ268),"")</f>
        <v>0</v>
      </c>
      <c r="W120" s="62">
        <f>IF(AND(OR(act_view_idx=3,act_view_idx=4),21&lt;=act_horizon_n),CHOOSE(act_scn_idx,AY268,BZ268,DA268),"")</f>
        <v>0</v>
      </c>
      <c r="X120" s="62">
        <f>IF(AND(OR(act_view_idx=3,act_view_idx=4),22&lt;=act_horizon_n),CHOOSE(act_scn_idx,AZ268,CA268,DB268),"")</f>
        <v>0</v>
      </c>
      <c r="Y120" s="62">
        <f>IF(AND(OR(act_view_idx=3,act_view_idx=4),23&lt;=act_horizon_n),CHOOSE(act_scn_idx,BA268,CB268,DC268),"")</f>
        <v>0</v>
      </c>
      <c r="Z120" s="62">
        <f>IF(AND(OR(act_view_idx=3,act_view_idx=4),24&lt;=act_horizon_n),CHOOSE(act_scn_idx,BB268,CC268,DD268),"")</f>
        <v>0</v>
      </c>
      <c r="AA120" s="1"/>
      <c r="AB120" s="63">
        <f>IF(OR(act_view_idx=3,act_view_idx=4),CHOOSE(act_scn_idx,BC268,CD268,DE268),"")</f>
        <v>0</v>
      </c>
      <c r="AC120" s="63">
        <f>IF(AND(OR(act_view_idx=3,act_view_idx=4),act_horizon_n&gt;=24),CHOOSE(act_scn_idx,BD268,CE268,DF268),"")</f>
        <v>0</v>
      </c>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c r="DH120"/>
    </row>
    <row r="121" spans="1:112" ht="20" customHeight="1" x14ac:dyDescent="0.2">
      <c r="A121" s="1"/>
      <c r="B121" s="64" t="str">
        <f>IF(OR(act_view_idx=3,act_view_idx=4),"Total equity","")</f>
        <v>Total equity</v>
      </c>
      <c r="C121" s="65">
        <f>IF(AND(OR(act_view_idx=3,act_view_idx=4),1&lt;=act_horizon_n),CHOOSE(act_scn_idx,AE269,BF269,CG269),"")</f>
        <v>0</v>
      </c>
      <c r="D121" s="65">
        <f>IF(AND(OR(act_view_idx=3,act_view_idx=4),2&lt;=act_horizon_n),CHOOSE(act_scn_idx,AF269,BG269,CH269),"")</f>
        <v>0</v>
      </c>
      <c r="E121" s="65">
        <f>IF(AND(OR(act_view_idx=3,act_view_idx=4),3&lt;=act_horizon_n),CHOOSE(act_scn_idx,AG269,BH269,CI269),"")</f>
        <v>0</v>
      </c>
      <c r="F121" s="65">
        <f>IF(AND(OR(act_view_idx=3,act_view_idx=4),4&lt;=act_horizon_n),CHOOSE(act_scn_idx,AH269,BI269,CJ269),"")</f>
        <v>0</v>
      </c>
      <c r="G121" s="65">
        <f>IF(AND(OR(act_view_idx=3,act_view_idx=4),5&lt;=act_horizon_n),CHOOSE(act_scn_idx,AI269,BJ269,CK269),"")</f>
        <v>0</v>
      </c>
      <c r="H121" s="65">
        <f>IF(AND(OR(act_view_idx=3,act_view_idx=4),6&lt;=act_horizon_n),CHOOSE(act_scn_idx,AJ269,BK269,CL269),"")</f>
        <v>0</v>
      </c>
      <c r="I121" s="65">
        <f>IF(AND(OR(act_view_idx=3,act_view_idx=4),7&lt;=act_horizon_n),CHOOSE(act_scn_idx,AK269,BL269,CM269),"")</f>
        <v>0</v>
      </c>
      <c r="J121" s="65">
        <f>IF(AND(OR(act_view_idx=3,act_view_idx=4),8&lt;=act_horizon_n),CHOOSE(act_scn_idx,AL269,BM269,CN269),"")</f>
        <v>0</v>
      </c>
      <c r="K121" s="65">
        <f>IF(AND(OR(act_view_idx=3,act_view_idx=4),9&lt;=act_horizon_n),CHOOSE(act_scn_idx,AM269,BN269,CO269),"")</f>
        <v>0</v>
      </c>
      <c r="L121" s="65">
        <f>IF(AND(OR(act_view_idx=3,act_view_idx=4),10&lt;=act_horizon_n),CHOOSE(act_scn_idx,AN269,BO269,CP269),"")</f>
        <v>0</v>
      </c>
      <c r="M121" s="65">
        <f>IF(AND(OR(act_view_idx=3,act_view_idx=4),11&lt;=act_horizon_n),CHOOSE(act_scn_idx,AO269,BP269,CQ269),"")</f>
        <v>0</v>
      </c>
      <c r="N121" s="65">
        <f>IF(AND(OR(act_view_idx=3,act_view_idx=4),12&lt;=act_horizon_n),CHOOSE(act_scn_idx,AP269,BQ269,CR269),"")</f>
        <v>0</v>
      </c>
      <c r="O121" s="65">
        <f>IF(AND(OR(act_view_idx=3,act_view_idx=4),13&lt;=act_horizon_n),CHOOSE(act_scn_idx,AQ269,BR269,CS269),"")</f>
        <v>0</v>
      </c>
      <c r="P121" s="65">
        <f>IF(AND(OR(act_view_idx=3,act_view_idx=4),14&lt;=act_horizon_n),CHOOSE(act_scn_idx,AR269,BS269,CT269),"")</f>
        <v>0</v>
      </c>
      <c r="Q121" s="65">
        <f>IF(AND(OR(act_view_idx=3,act_view_idx=4),15&lt;=act_horizon_n),CHOOSE(act_scn_idx,AS269,BT269,CU269),"")</f>
        <v>0</v>
      </c>
      <c r="R121" s="65">
        <f>IF(AND(OR(act_view_idx=3,act_view_idx=4),16&lt;=act_horizon_n),CHOOSE(act_scn_idx,AT269,BU269,CV269),"")</f>
        <v>0</v>
      </c>
      <c r="S121" s="65">
        <f>IF(AND(OR(act_view_idx=3,act_view_idx=4),17&lt;=act_horizon_n),CHOOSE(act_scn_idx,AU269,BV269,CW269),"")</f>
        <v>0</v>
      </c>
      <c r="T121" s="65">
        <f>IF(AND(OR(act_view_idx=3,act_view_idx=4),18&lt;=act_horizon_n),CHOOSE(act_scn_idx,AV269,BW269,CX269),"")</f>
        <v>0</v>
      </c>
      <c r="U121" s="65">
        <f>IF(AND(OR(act_view_idx=3,act_view_idx=4),19&lt;=act_horizon_n),CHOOSE(act_scn_idx,AW269,BX269,CY269),"")</f>
        <v>0</v>
      </c>
      <c r="V121" s="65">
        <f>IF(AND(OR(act_view_idx=3,act_view_idx=4),20&lt;=act_horizon_n),CHOOSE(act_scn_idx,AX269,BY269,CZ269),"")</f>
        <v>0</v>
      </c>
      <c r="W121" s="65">
        <f>IF(AND(OR(act_view_idx=3,act_view_idx=4),21&lt;=act_horizon_n),CHOOSE(act_scn_idx,AY269,BZ269,DA269),"")</f>
        <v>0</v>
      </c>
      <c r="X121" s="65">
        <f>IF(AND(OR(act_view_idx=3,act_view_idx=4),22&lt;=act_horizon_n),CHOOSE(act_scn_idx,AZ269,CA269,DB269),"")</f>
        <v>0</v>
      </c>
      <c r="Y121" s="65">
        <f>IF(AND(OR(act_view_idx=3,act_view_idx=4),23&lt;=act_horizon_n),CHOOSE(act_scn_idx,BA269,CB269,DC269),"")</f>
        <v>0</v>
      </c>
      <c r="Z121" s="65">
        <f>IF(AND(OR(act_view_idx=3,act_view_idx=4),24&lt;=act_horizon_n),CHOOSE(act_scn_idx,BB269,CC269,DD269),"")</f>
        <v>0</v>
      </c>
      <c r="AA121" s="1"/>
      <c r="AB121" s="65">
        <f>IF(OR(act_view_idx=3,act_view_idx=4),CHOOSE(act_scn_idx,BC269,CD269,DE269),"")</f>
        <v>0</v>
      </c>
      <c r="AC121" s="65">
        <f>IF(AND(OR(act_view_idx=3,act_view_idx=4),act_horizon_n&gt;=24),CHOOSE(act_scn_idx,BD269,CE269,DF269),"")</f>
        <v>0</v>
      </c>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c r="CW121" s="2"/>
      <c r="CX121" s="2"/>
      <c r="CY121" s="2"/>
      <c r="CZ121" s="2"/>
      <c r="DA121" s="2"/>
      <c r="DB121" s="2"/>
      <c r="DC121" s="2"/>
      <c r="DD121" s="2"/>
      <c r="DE121" s="2"/>
      <c r="DF121" s="2"/>
      <c r="DG121"/>
      <c r="DH121"/>
    </row>
    <row r="122" spans="1:112" ht="20" customHeight="1" x14ac:dyDescent="0.2">
      <c r="A122" s="1"/>
      <c r="B122" s="66" t="str">
        <f>IF(OR(act_view_idx=3,act_view_idx=4),"TOTAL LIABILITIES + EQUITY","")</f>
        <v>TOTAL LIABILITIES + EQUITY</v>
      </c>
      <c r="C122" s="67">
        <f>IF(AND(OR(act_view_idx=3,act_view_idx=4),1&lt;=act_horizon_n),CHOOSE(act_scn_idx,AE270,BF270,CG270),"")</f>
        <v>0</v>
      </c>
      <c r="D122" s="67">
        <f>IF(AND(OR(act_view_idx=3,act_view_idx=4),2&lt;=act_horizon_n),CHOOSE(act_scn_idx,AF270,BG270,CH270),"")</f>
        <v>0</v>
      </c>
      <c r="E122" s="67">
        <f>IF(AND(OR(act_view_idx=3,act_view_idx=4),3&lt;=act_horizon_n),CHOOSE(act_scn_idx,AG270,BH270,CI270),"")</f>
        <v>0</v>
      </c>
      <c r="F122" s="67">
        <f>IF(AND(OR(act_view_idx=3,act_view_idx=4),4&lt;=act_horizon_n),CHOOSE(act_scn_idx,AH270,BI270,CJ270),"")</f>
        <v>0</v>
      </c>
      <c r="G122" s="67">
        <f>IF(AND(OR(act_view_idx=3,act_view_idx=4),5&lt;=act_horizon_n),CHOOSE(act_scn_idx,AI270,BJ270,CK270),"")</f>
        <v>0</v>
      </c>
      <c r="H122" s="67">
        <f>IF(AND(OR(act_view_idx=3,act_view_idx=4),6&lt;=act_horizon_n),CHOOSE(act_scn_idx,AJ270,BK270,CL270),"")</f>
        <v>0</v>
      </c>
      <c r="I122" s="67">
        <f>IF(AND(OR(act_view_idx=3,act_view_idx=4),7&lt;=act_horizon_n),CHOOSE(act_scn_idx,AK270,BL270,CM270),"")</f>
        <v>0</v>
      </c>
      <c r="J122" s="67">
        <f>IF(AND(OR(act_view_idx=3,act_view_idx=4),8&lt;=act_horizon_n),CHOOSE(act_scn_idx,AL270,BM270,CN270),"")</f>
        <v>0</v>
      </c>
      <c r="K122" s="67">
        <f>IF(AND(OR(act_view_idx=3,act_view_idx=4),9&lt;=act_horizon_n),CHOOSE(act_scn_idx,AM270,BN270,CO270),"")</f>
        <v>0</v>
      </c>
      <c r="L122" s="67">
        <f>IF(AND(OR(act_view_idx=3,act_view_idx=4),10&lt;=act_horizon_n),CHOOSE(act_scn_idx,AN270,BO270,CP270),"")</f>
        <v>0</v>
      </c>
      <c r="M122" s="67">
        <f>IF(AND(OR(act_view_idx=3,act_view_idx=4),11&lt;=act_horizon_n),CHOOSE(act_scn_idx,AO270,BP270,CQ270),"")</f>
        <v>0</v>
      </c>
      <c r="N122" s="67">
        <f>IF(AND(OR(act_view_idx=3,act_view_idx=4),12&lt;=act_horizon_n),CHOOSE(act_scn_idx,AP270,BQ270,CR270),"")</f>
        <v>0</v>
      </c>
      <c r="O122" s="67">
        <f>IF(AND(OR(act_view_idx=3,act_view_idx=4),13&lt;=act_horizon_n),CHOOSE(act_scn_idx,AQ270,BR270,CS270),"")</f>
        <v>0</v>
      </c>
      <c r="P122" s="67">
        <f>IF(AND(OR(act_view_idx=3,act_view_idx=4),14&lt;=act_horizon_n),CHOOSE(act_scn_idx,AR270,BS270,CT270),"")</f>
        <v>0</v>
      </c>
      <c r="Q122" s="67">
        <f>IF(AND(OR(act_view_idx=3,act_view_idx=4),15&lt;=act_horizon_n),CHOOSE(act_scn_idx,AS270,BT270,CU270),"")</f>
        <v>0</v>
      </c>
      <c r="R122" s="67">
        <f>IF(AND(OR(act_view_idx=3,act_view_idx=4),16&lt;=act_horizon_n),CHOOSE(act_scn_idx,AT270,BU270,CV270),"")</f>
        <v>0</v>
      </c>
      <c r="S122" s="67">
        <f>IF(AND(OR(act_view_idx=3,act_view_idx=4),17&lt;=act_horizon_n),CHOOSE(act_scn_idx,AU270,BV270,CW270),"")</f>
        <v>0</v>
      </c>
      <c r="T122" s="67">
        <f>IF(AND(OR(act_view_idx=3,act_view_idx=4),18&lt;=act_horizon_n),CHOOSE(act_scn_idx,AV270,BW270,CX270),"")</f>
        <v>0</v>
      </c>
      <c r="U122" s="67">
        <f>IF(AND(OR(act_view_idx=3,act_view_idx=4),19&lt;=act_horizon_n),CHOOSE(act_scn_idx,AW270,BX270,CY270),"")</f>
        <v>0</v>
      </c>
      <c r="V122" s="67">
        <f>IF(AND(OR(act_view_idx=3,act_view_idx=4),20&lt;=act_horizon_n),CHOOSE(act_scn_idx,AX270,BY270,CZ270),"")</f>
        <v>0</v>
      </c>
      <c r="W122" s="67">
        <f>IF(AND(OR(act_view_idx=3,act_view_idx=4),21&lt;=act_horizon_n),CHOOSE(act_scn_idx,AY270,BZ270,DA270),"")</f>
        <v>0</v>
      </c>
      <c r="X122" s="67">
        <f>IF(AND(OR(act_view_idx=3,act_view_idx=4),22&lt;=act_horizon_n),CHOOSE(act_scn_idx,AZ270,CA270,DB270),"")</f>
        <v>0</v>
      </c>
      <c r="Y122" s="67">
        <f>IF(AND(OR(act_view_idx=3,act_view_idx=4),23&lt;=act_horizon_n),CHOOSE(act_scn_idx,BA270,CB270,DC270),"")</f>
        <v>0</v>
      </c>
      <c r="Z122" s="67">
        <f>IF(AND(OR(act_view_idx=3,act_view_idx=4),24&lt;=act_horizon_n),CHOOSE(act_scn_idx,BB270,CC270,DD270),"")</f>
        <v>0</v>
      </c>
      <c r="AA122" s="1"/>
      <c r="AB122" s="67">
        <f>IF(OR(act_view_idx=3,act_view_idx=4),CHOOSE(act_scn_idx,BC270,CD270,DE270),"")</f>
        <v>0</v>
      </c>
      <c r="AC122" s="67">
        <f>IF(AND(OR(act_view_idx=3,act_view_idx=4),act_horizon_n&gt;=24),CHOOSE(act_scn_idx,BD270,CE270,DF270),"")</f>
        <v>0</v>
      </c>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c r="CW122" s="2"/>
      <c r="CX122" s="2"/>
      <c r="CY122" s="2"/>
      <c r="CZ122" s="2"/>
      <c r="DA122" s="2"/>
      <c r="DB122" s="2"/>
      <c r="DC122" s="2"/>
      <c r="DD122" s="2"/>
      <c r="DE122" s="2"/>
      <c r="DF122" s="2"/>
      <c r="DG122"/>
      <c r="DH122"/>
    </row>
    <row r="123" spans="1:112" ht="20" customHeight="1" x14ac:dyDescent="0.2">
      <c r="A123" s="1"/>
      <c r="B123" s="22" t="str">
        <f>IF(OR(act_view_idx=3,act_view_idx=4),"   BS check (Total Assets − Total L+E)","")</f>
        <v xml:space="preserve">   BS check (Total Assets − Total L+E)</v>
      </c>
      <c r="C123" s="62">
        <f>IF(AND(OR(act_view_idx=3,act_view_idx=4),1&lt;=act_horizon_n),CHOOSE(act_scn_idx,AE271,BF271,CG271),"")</f>
        <v>0</v>
      </c>
      <c r="D123" s="62">
        <f>IF(AND(OR(act_view_idx=3,act_view_idx=4),2&lt;=act_horizon_n),CHOOSE(act_scn_idx,AF271,BG271,CH271),"")</f>
        <v>0</v>
      </c>
      <c r="E123" s="62">
        <f>IF(AND(OR(act_view_idx=3,act_view_idx=4),3&lt;=act_horizon_n),CHOOSE(act_scn_idx,AG271,BH271,CI271),"")</f>
        <v>0</v>
      </c>
      <c r="F123" s="62">
        <f>IF(AND(OR(act_view_idx=3,act_view_idx=4),4&lt;=act_horizon_n),CHOOSE(act_scn_idx,AH271,BI271,CJ271),"")</f>
        <v>0</v>
      </c>
      <c r="G123" s="62">
        <f>IF(AND(OR(act_view_idx=3,act_view_idx=4),5&lt;=act_horizon_n),CHOOSE(act_scn_idx,AI271,BJ271,CK271),"")</f>
        <v>0</v>
      </c>
      <c r="H123" s="62">
        <f>IF(AND(OR(act_view_idx=3,act_view_idx=4),6&lt;=act_horizon_n),CHOOSE(act_scn_idx,AJ271,BK271,CL271),"")</f>
        <v>0</v>
      </c>
      <c r="I123" s="62">
        <f>IF(AND(OR(act_view_idx=3,act_view_idx=4),7&lt;=act_horizon_n),CHOOSE(act_scn_idx,AK271,BL271,CM271),"")</f>
        <v>0</v>
      </c>
      <c r="J123" s="62">
        <f>IF(AND(OR(act_view_idx=3,act_view_idx=4),8&lt;=act_horizon_n),CHOOSE(act_scn_idx,AL271,BM271,CN271),"")</f>
        <v>0</v>
      </c>
      <c r="K123" s="62">
        <f>IF(AND(OR(act_view_idx=3,act_view_idx=4),9&lt;=act_horizon_n),CHOOSE(act_scn_idx,AM271,BN271,CO271),"")</f>
        <v>0</v>
      </c>
      <c r="L123" s="62">
        <f>IF(AND(OR(act_view_idx=3,act_view_idx=4),10&lt;=act_horizon_n),CHOOSE(act_scn_idx,AN271,BO271,CP271),"")</f>
        <v>0</v>
      </c>
      <c r="M123" s="62">
        <f>IF(AND(OR(act_view_idx=3,act_view_idx=4),11&lt;=act_horizon_n),CHOOSE(act_scn_idx,AO271,BP271,CQ271),"")</f>
        <v>0</v>
      </c>
      <c r="N123" s="62">
        <f>IF(AND(OR(act_view_idx=3,act_view_idx=4),12&lt;=act_horizon_n),CHOOSE(act_scn_idx,AP271,BQ271,CR271),"")</f>
        <v>0</v>
      </c>
      <c r="O123" s="62">
        <f>IF(AND(OR(act_view_idx=3,act_view_idx=4),13&lt;=act_horizon_n),CHOOSE(act_scn_idx,AQ271,BR271,CS271),"")</f>
        <v>0</v>
      </c>
      <c r="P123" s="62">
        <f>IF(AND(OR(act_view_idx=3,act_view_idx=4),14&lt;=act_horizon_n),CHOOSE(act_scn_idx,AR271,BS271,CT271),"")</f>
        <v>0</v>
      </c>
      <c r="Q123" s="62">
        <f>IF(AND(OR(act_view_idx=3,act_view_idx=4),15&lt;=act_horizon_n),CHOOSE(act_scn_idx,AS271,BT271,CU271),"")</f>
        <v>0</v>
      </c>
      <c r="R123" s="62">
        <f>IF(AND(OR(act_view_idx=3,act_view_idx=4),16&lt;=act_horizon_n),CHOOSE(act_scn_idx,AT271,BU271,CV271),"")</f>
        <v>0</v>
      </c>
      <c r="S123" s="62">
        <f>IF(AND(OR(act_view_idx=3,act_view_idx=4),17&lt;=act_horizon_n),CHOOSE(act_scn_idx,AU271,BV271,CW271),"")</f>
        <v>0</v>
      </c>
      <c r="T123" s="62">
        <f>IF(AND(OR(act_view_idx=3,act_view_idx=4),18&lt;=act_horizon_n),CHOOSE(act_scn_idx,AV271,BW271,CX271),"")</f>
        <v>0</v>
      </c>
      <c r="U123" s="62">
        <f>IF(AND(OR(act_view_idx=3,act_view_idx=4),19&lt;=act_horizon_n),CHOOSE(act_scn_idx,AW271,BX271,CY271),"")</f>
        <v>0</v>
      </c>
      <c r="V123" s="62">
        <f>IF(AND(OR(act_view_idx=3,act_view_idx=4),20&lt;=act_horizon_n),CHOOSE(act_scn_idx,AX271,BY271,CZ271),"")</f>
        <v>0</v>
      </c>
      <c r="W123" s="62">
        <f>IF(AND(OR(act_view_idx=3,act_view_idx=4),21&lt;=act_horizon_n),CHOOSE(act_scn_idx,AY271,BZ271,DA271),"")</f>
        <v>0</v>
      </c>
      <c r="X123" s="62">
        <f>IF(AND(OR(act_view_idx=3,act_view_idx=4),22&lt;=act_horizon_n),CHOOSE(act_scn_idx,AZ271,CA271,DB271),"")</f>
        <v>0</v>
      </c>
      <c r="Y123" s="62">
        <f>IF(AND(OR(act_view_idx=3,act_view_idx=4),23&lt;=act_horizon_n),CHOOSE(act_scn_idx,BA271,CB271,DC271),"")</f>
        <v>0</v>
      </c>
      <c r="Z123" s="62">
        <f>IF(AND(OR(act_view_idx=3,act_view_idx=4),24&lt;=act_horizon_n),CHOOSE(act_scn_idx,BB271,CC271,DD271),"")</f>
        <v>0</v>
      </c>
      <c r="AA123" s="1"/>
      <c r="AB123" s="63">
        <f>IF(OR(act_view_idx=3,act_view_idx=4),CHOOSE(act_scn_idx,BC271,CD271,DE271),"")</f>
        <v>0</v>
      </c>
      <c r="AC123" s="63">
        <f>IF(AND(OR(act_view_idx=3,act_view_idx=4),act_horizon_n&gt;=24),CHOOSE(act_scn_idx,BD271,CE271,DF271),"")</f>
        <v>0</v>
      </c>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c r="CW123" s="2"/>
      <c r="CX123" s="2"/>
      <c r="CY123" s="2"/>
      <c r="CZ123" s="2"/>
      <c r="DA123" s="2"/>
      <c r="DB123" s="2"/>
      <c r="DC123" s="2"/>
      <c r="DD123" s="2"/>
      <c r="DE123" s="2"/>
      <c r="DF123" s="2"/>
      <c r="DG123"/>
      <c r="DH123"/>
    </row>
    <row r="124" spans="1:112" x14ac:dyDescent="0.2">
      <c r="A124" s="1"/>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c r="CX124" s="2"/>
      <c r="CY124" s="2"/>
      <c r="CZ124" s="2"/>
      <c r="DA124" s="2"/>
      <c r="DB124" s="2"/>
      <c r="DC124" s="2"/>
      <c r="DD124" s="2"/>
      <c r="DE124" s="2"/>
      <c r="DF124" s="2"/>
      <c r="DG124"/>
      <c r="DH124"/>
    </row>
    <row r="125" spans="1:112" x14ac:dyDescent="0.2">
      <c r="A125" s="1"/>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c r="DH125"/>
    </row>
    <row r="126" spans="1:112" x14ac:dyDescent="0.2">
      <c r="A126" s="1"/>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c r="CW126" s="2"/>
      <c r="CX126" s="2"/>
      <c r="CY126" s="2"/>
      <c r="CZ126" s="2"/>
      <c r="DA126" s="2"/>
      <c r="DB126" s="2"/>
      <c r="DC126" s="2"/>
      <c r="DD126" s="2"/>
      <c r="DE126" s="2"/>
      <c r="DF126" s="2"/>
      <c r="DG126"/>
      <c r="DH126"/>
    </row>
    <row r="127" spans="1:112" x14ac:dyDescent="0.2">
      <c r="A127" s="1"/>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c r="CW127" s="2"/>
      <c r="CX127" s="2"/>
      <c r="CY127" s="2"/>
      <c r="CZ127" s="2"/>
      <c r="DA127" s="2"/>
      <c r="DB127" s="2"/>
      <c r="DC127" s="2"/>
      <c r="DD127" s="2"/>
      <c r="DE127" s="2"/>
      <c r="DF127" s="2"/>
      <c r="DG127"/>
      <c r="DH127"/>
    </row>
    <row r="128" spans="1:112" x14ac:dyDescent="0.2">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c r="CT128" s="2"/>
      <c r="CU128" s="2"/>
      <c r="CV128" s="2"/>
      <c r="CW128" s="2"/>
      <c r="CX128" s="2"/>
      <c r="CY128" s="2"/>
      <c r="CZ128" s="2"/>
      <c r="DA128" s="2"/>
      <c r="DB128" s="2"/>
      <c r="DC128" s="2"/>
      <c r="DD128" s="2"/>
      <c r="DE128" s="2"/>
      <c r="DF128" s="2"/>
      <c r="DG128"/>
      <c r="DH128"/>
    </row>
    <row r="129" spans="1:112" ht="22" customHeight="1" x14ac:dyDescent="0.2">
      <c r="A129" s="1"/>
      <c r="B129" s="57" t="s">
        <v>42</v>
      </c>
      <c r="C129" s="20"/>
      <c r="D129" s="20"/>
      <c r="E129" s="20"/>
      <c r="F129" s="20"/>
      <c r="G129" s="20"/>
      <c r="H129" s="20"/>
      <c r="I129" s="20"/>
      <c r="J129" s="20"/>
      <c r="K129" s="20"/>
      <c r="L129" s="20"/>
      <c r="M129" s="20"/>
      <c r="N129" s="20"/>
      <c r="O129" s="20"/>
      <c r="P129" s="20"/>
      <c r="Q129" s="20"/>
      <c r="R129" s="20"/>
      <c r="S129" s="20"/>
      <c r="T129" s="20"/>
      <c r="U129" s="20"/>
      <c r="V129" s="20"/>
      <c r="W129" s="20"/>
      <c r="X129" s="20"/>
      <c r="Y129" s="20"/>
      <c r="Z129" s="20"/>
      <c r="AA129" s="20"/>
      <c r="AB129" s="20"/>
      <c r="AC129" s="21" t="s">
        <v>43</v>
      </c>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c r="CS129" s="2"/>
      <c r="CT129" s="2"/>
      <c r="CU129" s="2"/>
      <c r="CV129" s="2"/>
      <c r="CW129" s="2"/>
      <c r="CX129" s="2"/>
      <c r="CY129" s="2"/>
      <c r="CZ129" s="2"/>
      <c r="DA129" s="2"/>
      <c r="DB129" s="2"/>
      <c r="DC129" s="2"/>
      <c r="DD129" s="2"/>
      <c r="DE129" s="2"/>
      <c r="DF129" s="2"/>
      <c r="DG129"/>
      <c r="DH129"/>
    </row>
    <row r="130" spans="1:112" ht="22" customHeight="1" x14ac:dyDescent="0.2">
      <c r="A130" s="1"/>
      <c r="B130" s="27"/>
      <c r="C130" s="28" t="s">
        <v>44</v>
      </c>
      <c r="D130" s="28" t="s">
        <v>45</v>
      </c>
      <c r="E130" s="28" t="s">
        <v>46</v>
      </c>
      <c r="F130" s="28" t="s">
        <v>47</v>
      </c>
      <c r="G130" s="28" t="s">
        <v>48</v>
      </c>
      <c r="H130" s="28" t="s">
        <v>49</v>
      </c>
      <c r="I130" s="28" t="s">
        <v>50</v>
      </c>
      <c r="J130" s="28" t="s">
        <v>51</v>
      </c>
      <c r="K130" s="28" t="s">
        <v>52</v>
      </c>
      <c r="L130" s="28" t="s">
        <v>53</v>
      </c>
      <c r="M130" s="28" t="s">
        <v>54</v>
      </c>
      <c r="N130" s="28" t="s">
        <v>55</v>
      </c>
      <c r="O130" s="28" t="s">
        <v>56</v>
      </c>
      <c r="P130" s="28" t="s">
        <v>57</v>
      </c>
      <c r="Q130" s="28" t="s">
        <v>58</v>
      </c>
      <c r="R130" s="28" t="s">
        <v>59</v>
      </c>
      <c r="S130" s="28" t="s">
        <v>60</v>
      </c>
      <c r="T130" s="28" t="s">
        <v>61</v>
      </c>
      <c r="U130" s="28" t="s">
        <v>62</v>
      </c>
      <c r="V130" s="28" t="s">
        <v>63</v>
      </c>
      <c r="W130" s="28" t="s">
        <v>64</v>
      </c>
      <c r="X130" s="28" t="s">
        <v>65</v>
      </c>
      <c r="Y130" s="28" t="s">
        <v>66</v>
      </c>
      <c r="Z130" s="28" t="s">
        <v>67</v>
      </c>
      <c r="AA130" s="1"/>
      <c r="AB130" s="28" t="s">
        <v>41</v>
      </c>
      <c r="AC130" s="28" t="s">
        <v>68</v>
      </c>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c r="CS130" s="2"/>
      <c r="CT130" s="2"/>
      <c r="CU130" s="2"/>
      <c r="CV130" s="2"/>
      <c r="CW130" s="2"/>
      <c r="CX130" s="2"/>
      <c r="CY130" s="2"/>
      <c r="CZ130" s="2"/>
      <c r="DA130" s="2"/>
      <c r="DB130" s="2"/>
      <c r="DC130" s="2"/>
      <c r="DD130" s="2"/>
      <c r="DE130" s="2"/>
      <c r="DF130" s="2"/>
      <c r="DG130"/>
      <c r="DH130"/>
    </row>
    <row r="131" spans="1:112" ht="20" customHeight="1" x14ac:dyDescent="0.2">
      <c r="A131" s="1"/>
      <c r="B131" s="22" t="s">
        <v>69</v>
      </c>
      <c r="C131" s="69">
        <f>IF(1&gt;act_horizon_n,"",CHOOSE(act_scn_idx,(AE250+AE251-AE257-AE258),(BF250+BF251-BF257-BF258),(CG250+CG251-CG257-CG258)))</f>
        <v>0</v>
      </c>
      <c r="D131" s="69">
        <f>IF(2&gt;act_horizon_n,"",CHOOSE(act_scn_idx,(AF250+AF251-AF257-AF258),(BG250+BG251-BG257-BG258),(CH250+CH251-CH257-CH258)))</f>
        <v>0</v>
      </c>
      <c r="E131" s="69">
        <f>IF(3&gt;act_horizon_n,"",CHOOSE(act_scn_idx,(AG250+AG251-AG257-AG258),(BH250+BH251-BH257-BH258),(CI250+CI251-CI257-CI258)))</f>
        <v>0</v>
      </c>
      <c r="F131" s="69">
        <f>IF(4&gt;act_horizon_n,"",CHOOSE(act_scn_idx,(AH250+AH251-AH257-AH258),(BI250+BI251-BI257-BI258),(CJ250+CJ251-CJ257-CJ258)))</f>
        <v>0</v>
      </c>
      <c r="G131" s="69">
        <f>IF(5&gt;act_horizon_n,"",CHOOSE(act_scn_idx,(AI250+AI251-AI257-AI258),(BJ250+BJ251-BJ257-BJ258),(CK250+CK251-CK257-CK258)))</f>
        <v>0</v>
      </c>
      <c r="H131" s="69">
        <f>IF(6&gt;act_horizon_n,"",CHOOSE(act_scn_idx,(AJ250+AJ251-AJ257-AJ258),(BK250+BK251-BK257-BK258),(CL250+CL251-CL257-CL258)))</f>
        <v>0</v>
      </c>
      <c r="I131" s="69">
        <f>IF(7&gt;act_horizon_n,"",CHOOSE(act_scn_idx,(AK250+AK251-AK257-AK258),(BL250+BL251-BL257-BL258),(CM250+CM251-CM257-CM258)))</f>
        <v>0</v>
      </c>
      <c r="J131" s="69">
        <f>IF(8&gt;act_horizon_n,"",CHOOSE(act_scn_idx,(AL250+AL251-AL257-AL258),(BM250+BM251-BM257-BM258),(CN250+CN251-CN257-CN258)))</f>
        <v>0</v>
      </c>
      <c r="K131" s="69">
        <f>IF(9&gt;act_horizon_n,"",CHOOSE(act_scn_idx,(AM250+AM251-AM257-AM258),(BN250+BN251-BN257-BN258),(CO250+CO251-CO257-CO258)))</f>
        <v>0</v>
      </c>
      <c r="L131" s="69">
        <f>IF(10&gt;act_horizon_n,"",CHOOSE(act_scn_idx,(AN250+AN251-AN257-AN258),(BO250+BO251-BO257-BO258),(CP250+CP251-CP257-CP258)))</f>
        <v>0</v>
      </c>
      <c r="M131" s="69">
        <f>IF(11&gt;act_horizon_n,"",CHOOSE(act_scn_idx,(AO250+AO251-AO257-AO258),(BP250+BP251-BP257-BP258),(CQ250+CQ251-CQ257-CQ258)))</f>
        <v>0</v>
      </c>
      <c r="N131" s="69">
        <f>IF(12&gt;act_horizon_n,"",CHOOSE(act_scn_idx,(AP250+AP251-AP257-AP258),(BQ250+BQ251-BQ257-BQ258),(CR250+CR251-CR257-CR258)))</f>
        <v>0</v>
      </c>
      <c r="O131" s="69">
        <f>IF(13&gt;act_horizon_n,"",CHOOSE(act_scn_idx,(AQ250+AQ251-AQ257-AQ258),(BR250+BR251-BR257-BR258),(CS250+CS251-CS257-CS258)))</f>
        <v>0</v>
      </c>
      <c r="P131" s="69">
        <f>IF(14&gt;act_horizon_n,"",CHOOSE(act_scn_idx,(AR250+AR251-AR257-AR258),(BS250+BS251-BS257-BS258),(CT250+CT251-CT257-CT258)))</f>
        <v>0</v>
      </c>
      <c r="Q131" s="69">
        <f>IF(15&gt;act_horizon_n,"",CHOOSE(act_scn_idx,(AS250+AS251-AS257-AS258),(BT250+BT251-BT257-BT258),(CU250+CU251-CU257-CU258)))</f>
        <v>0</v>
      </c>
      <c r="R131" s="69">
        <f>IF(16&gt;act_horizon_n,"",CHOOSE(act_scn_idx,(AT250+AT251-AT257-AT258),(BU250+BU251-BU257-BU258),(CV250+CV251-CV257-CV258)))</f>
        <v>0</v>
      </c>
      <c r="S131" s="69">
        <f>IF(17&gt;act_horizon_n,"",CHOOSE(act_scn_idx,(AU250+AU251-AU257-AU258),(BV250+BV251-BV257-BV258),(CW250+CW251-CW257-CW258)))</f>
        <v>0</v>
      </c>
      <c r="T131" s="69">
        <f>IF(18&gt;act_horizon_n,"",CHOOSE(act_scn_idx,(AV250+AV251-AV257-AV258),(BW250+BW251-BW257-BW258),(CX250+CX251-CX257-CX258)))</f>
        <v>0</v>
      </c>
      <c r="U131" s="69">
        <f>IF(19&gt;act_horizon_n,"",CHOOSE(act_scn_idx,(AW250+AW251-AW257-AW258),(BX250+BX251-BX257-BX258),(CY250+CY251-CY257-CY258)))</f>
        <v>0</v>
      </c>
      <c r="V131" s="69">
        <f>IF(20&gt;act_horizon_n,"",CHOOSE(act_scn_idx,(AX250+AX251-AX257-AX258),(BY250+BY251-BY257-BY258),(CZ250+CZ251-CZ257-CZ258)))</f>
        <v>0</v>
      </c>
      <c r="W131" s="69">
        <f>IF(21&gt;act_horizon_n,"",CHOOSE(act_scn_idx,(AY250+AY251-AY257-AY258),(BZ250+BZ251-BZ257-BZ258),(DA250+DA251-DA257-DA258)))</f>
        <v>0</v>
      </c>
      <c r="X131" s="69">
        <f>IF(22&gt;act_horizon_n,"",CHOOSE(act_scn_idx,(AZ250+AZ251-AZ257-AZ258),(CA250+CA251-CA257-CA258),(DB250+DB251-DB257-DB258)))</f>
        <v>0</v>
      </c>
      <c r="Y131" s="69">
        <f>IF(23&gt;act_horizon_n,"",CHOOSE(act_scn_idx,(BA250+BA251-BA257-BA258),(CB250+CB251-CB257-CB258),(DC250+DC251-DC257-DC258)))</f>
        <v>0</v>
      </c>
      <c r="Z131" s="69">
        <f>IF(24&gt;act_horizon_n,"",CHOOSE(act_scn_idx,(BB250+BB251-BB257-BB258),(CC250+CC251-CC257-CC258),(DD250+DD251-DD257-DD258)))</f>
        <v>0</v>
      </c>
      <c r="AA131" s="1"/>
      <c r="AB131" s="70">
        <f>CHOOSE(act_scn_idx,(INDEX(AE250:BB250,act_horizon_n)+INDEX(AE251:BB251,act_horizon_n)-INDEX(AE257:BB257,act_horizon_n)-INDEX(AE258:BB258,act_horizon_n)),(INDEX(BF250:CC250,act_horizon_n)+INDEX(BF251:CC251,act_horizon_n)-INDEX(BF257:CC257,act_horizon_n)-INDEX(BF258:CC258,act_horizon_n)),(INDEX(CG250:DD250,act_horizon_n)+INDEX(CG251:DD251,act_horizon_n)-INDEX(CG257:DD257,act_horizon_n)-INDEX(CG258:DD258,act_horizon_n)))</f>
        <v>0</v>
      </c>
      <c r="AC131" s="70">
        <f>IF(act_horizon_n&lt;24,"",CHOOSE(act_scn_idx,(INDEX(AE250:BB250,24)+INDEX(AE251:BB251,24)-INDEX(AE257:BB257,24)-INDEX(AE258:BB258,24)),(INDEX(BF250:CC250,24)+INDEX(BF251:CC251,24)-INDEX(BF257:CC257,24)-INDEX(BF258:CC258,24)),(INDEX(CG250:DD250,24)+INDEX(CG251:DD251,24)-INDEX(CG257:DD257,24)-INDEX(CG258:DD258,24))))</f>
        <v>0</v>
      </c>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c r="DH131"/>
    </row>
    <row r="132" spans="1:112" ht="20" customHeight="1" x14ac:dyDescent="0.2">
      <c r="A132" s="1"/>
      <c r="B132" s="22" t="s">
        <v>70</v>
      </c>
      <c r="C132" s="69">
        <f>IF(1&gt;act_horizon_n,"",CHOOSE(act_scn_idx,(-AE223),(-BF223),(-CG223)))</f>
        <v>0</v>
      </c>
      <c r="D132" s="69">
        <f>IF(2&gt;act_horizon_n,"",CHOOSE(act_scn_idx,(-AF223),(-BG223),(-CH223)))</f>
        <v>0</v>
      </c>
      <c r="E132" s="69">
        <f>IF(3&gt;act_horizon_n,"",CHOOSE(act_scn_idx,(-AG223),(-BH223),(-CI223)))</f>
        <v>0</v>
      </c>
      <c r="F132" s="69">
        <f>IF(4&gt;act_horizon_n,"",CHOOSE(act_scn_idx,(-AH223),(-BI223),(-CJ223)))</f>
        <v>0</v>
      </c>
      <c r="G132" s="69">
        <f>IF(5&gt;act_horizon_n,"",CHOOSE(act_scn_idx,(-AI223),(-BJ223),(-CK223)))</f>
        <v>0</v>
      </c>
      <c r="H132" s="69">
        <f>IF(6&gt;act_horizon_n,"",CHOOSE(act_scn_idx,(-AJ223),(-BK223),(-CL223)))</f>
        <v>0</v>
      </c>
      <c r="I132" s="69">
        <f>IF(7&gt;act_horizon_n,"",CHOOSE(act_scn_idx,(-AK223),(-BL223),(-CM223)))</f>
        <v>0</v>
      </c>
      <c r="J132" s="69">
        <f>IF(8&gt;act_horizon_n,"",CHOOSE(act_scn_idx,(-AL223),(-BM223),(-CN223)))</f>
        <v>0</v>
      </c>
      <c r="K132" s="69">
        <f>IF(9&gt;act_horizon_n,"",CHOOSE(act_scn_idx,(-AM223),(-BN223),(-CO223)))</f>
        <v>0</v>
      </c>
      <c r="L132" s="69">
        <f>IF(10&gt;act_horizon_n,"",CHOOSE(act_scn_idx,(-AN223),(-BO223),(-CP223)))</f>
        <v>0</v>
      </c>
      <c r="M132" s="69">
        <f>IF(11&gt;act_horizon_n,"",CHOOSE(act_scn_idx,(-AO223),(-BP223),(-CQ223)))</f>
        <v>0</v>
      </c>
      <c r="N132" s="69">
        <f>IF(12&gt;act_horizon_n,"",CHOOSE(act_scn_idx,(-AP223),(-BQ223),(-CR223)))</f>
        <v>0</v>
      </c>
      <c r="O132" s="69">
        <f>IF(13&gt;act_horizon_n,"",CHOOSE(act_scn_idx,(-AQ223),(-BR223),(-CS223)))</f>
        <v>0</v>
      </c>
      <c r="P132" s="69">
        <f>IF(14&gt;act_horizon_n,"",CHOOSE(act_scn_idx,(-AR223),(-BS223),(-CT223)))</f>
        <v>0</v>
      </c>
      <c r="Q132" s="69">
        <f>IF(15&gt;act_horizon_n,"",CHOOSE(act_scn_idx,(-AS223),(-BT223),(-CU223)))</f>
        <v>0</v>
      </c>
      <c r="R132" s="69">
        <f>IF(16&gt;act_horizon_n,"",CHOOSE(act_scn_idx,(-AT223),(-BU223),(-CV223)))</f>
        <v>0</v>
      </c>
      <c r="S132" s="69">
        <f>IF(17&gt;act_horizon_n,"",CHOOSE(act_scn_idx,(-AU223),(-BV223),(-CW223)))</f>
        <v>0</v>
      </c>
      <c r="T132" s="69">
        <f>IF(18&gt;act_horizon_n,"",CHOOSE(act_scn_idx,(-AV223),(-BW223),(-CX223)))</f>
        <v>0</v>
      </c>
      <c r="U132" s="69">
        <f>IF(19&gt;act_horizon_n,"",CHOOSE(act_scn_idx,(-AW223),(-BX223),(-CY223)))</f>
        <v>0</v>
      </c>
      <c r="V132" s="69">
        <f>IF(20&gt;act_horizon_n,"",CHOOSE(act_scn_idx,(-AX223),(-BY223),(-CZ223)))</f>
        <v>0</v>
      </c>
      <c r="W132" s="69">
        <f>IF(21&gt;act_horizon_n,"",CHOOSE(act_scn_idx,(-AY223),(-BZ223),(-DA223)))</f>
        <v>0</v>
      </c>
      <c r="X132" s="69">
        <f>IF(22&gt;act_horizon_n,"",CHOOSE(act_scn_idx,(-AZ223),(-CA223),(-DB223)))</f>
        <v>0</v>
      </c>
      <c r="Y132" s="69">
        <f>IF(23&gt;act_horizon_n,"",CHOOSE(act_scn_idx,(-BA223),(-CB223),(-DC223)))</f>
        <v>0</v>
      </c>
      <c r="Z132" s="69">
        <f>IF(24&gt;act_horizon_n,"",CHOOSE(act_scn_idx,(-BB223),(-CC223),(-DD223)))</f>
        <v>0</v>
      </c>
      <c r="AA132" s="1"/>
      <c r="AB132" s="70">
        <f>CHOOSE(act_scn_idx,(-BC223),(-CD223),(-DE223))</f>
        <v>0</v>
      </c>
      <c r="AC132" s="70">
        <f>IF(act_horizon_n&lt;24,"",CHOOSE(act_scn_idx,(-BD223),(-CE223),(-DF223)))</f>
        <v>0</v>
      </c>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c r="CS132" s="2"/>
      <c r="CT132" s="2"/>
      <c r="CU132" s="2"/>
      <c r="CV132" s="2"/>
      <c r="CW132" s="2"/>
      <c r="CX132" s="2"/>
      <c r="CY132" s="2"/>
      <c r="CZ132" s="2"/>
      <c r="DA132" s="2"/>
      <c r="DB132" s="2"/>
      <c r="DC132" s="2"/>
      <c r="DD132" s="2"/>
      <c r="DE132" s="2"/>
      <c r="DF132" s="2"/>
      <c r="DG132"/>
      <c r="DH132"/>
    </row>
    <row r="133" spans="1:112" ht="20" customHeight="1" x14ac:dyDescent="0.2">
      <c r="A133" s="1"/>
      <c r="B133" s="22" t="s">
        <v>71</v>
      </c>
      <c r="C133" s="69">
        <f>IF(1&gt;act_horizon_n,"",CHOOSE(act_scn_idx,AE226,BF226,CG226))</f>
        <v>0</v>
      </c>
      <c r="D133" s="69">
        <f>IF(2&gt;act_horizon_n,"",CHOOSE(act_scn_idx,AF226,BG226,CH226))</f>
        <v>0</v>
      </c>
      <c r="E133" s="69">
        <f>IF(3&gt;act_horizon_n,"",CHOOSE(act_scn_idx,AG226,BH226,CI226))</f>
        <v>0</v>
      </c>
      <c r="F133" s="69">
        <f>IF(4&gt;act_horizon_n,"",CHOOSE(act_scn_idx,AH226,BI226,CJ226))</f>
        <v>0</v>
      </c>
      <c r="G133" s="69">
        <f>IF(5&gt;act_horizon_n,"",CHOOSE(act_scn_idx,AI226,BJ226,CK226))</f>
        <v>0</v>
      </c>
      <c r="H133" s="69">
        <f>IF(6&gt;act_horizon_n,"",CHOOSE(act_scn_idx,AJ226,BK226,CL226))</f>
        <v>0</v>
      </c>
      <c r="I133" s="69">
        <f>IF(7&gt;act_horizon_n,"",CHOOSE(act_scn_idx,AK226,BL226,CM226))</f>
        <v>0</v>
      </c>
      <c r="J133" s="69">
        <f>IF(8&gt;act_horizon_n,"",CHOOSE(act_scn_idx,AL226,BM226,CN226))</f>
        <v>0</v>
      </c>
      <c r="K133" s="69">
        <f>IF(9&gt;act_horizon_n,"",CHOOSE(act_scn_idx,AM226,BN226,CO226))</f>
        <v>0</v>
      </c>
      <c r="L133" s="69">
        <f>IF(10&gt;act_horizon_n,"",CHOOSE(act_scn_idx,AN226,BO226,CP226))</f>
        <v>0</v>
      </c>
      <c r="M133" s="69">
        <f>IF(11&gt;act_horizon_n,"",CHOOSE(act_scn_idx,AO226,BP226,CQ226))</f>
        <v>0</v>
      </c>
      <c r="N133" s="69">
        <f>IF(12&gt;act_horizon_n,"",CHOOSE(act_scn_idx,AP226,BQ226,CR226))</f>
        <v>0</v>
      </c>
      <c r="O133" s="69">
        <f>IF(13&gt;act_horizon_n,"",CHOOSE(act_scn_idx,AQ226,BR226,CS226))</f>
        <v>0</v>
      </c>
      <c r="P133" s="69">
        <f>IF(14&gt;act_horizon_n,"",CHOOSE(act_scn_idx,AR226,BS226,CT226))</f>
        <v>0</v>
      </c>
      <c r="Q133" s="69">
        <f>IF(15&gt;act_horizon_n,"",CHOOSE(act_scn_idx,AS226,BT226,CU226))</f>
        <v>0</v>
      </c>
      <c r="R133" s="69">
        <f>IF(16&gt;act_horizon_n,"",CHOOSE(act_scn_idx,AT226,BU226,CV226))</f>
        <v>0</v>
      </c>
      <c r="S133" s="69">
        <f>IF(17&gt;act_horizon_n,"",CHOOSE(act_scn_idx,AU226,BV226,CW226))</f>
        <v>0</v>
      </c>
      <c r="T133" s="69">
        <f>IF(18&gt;act_horizon_n,"",CHOOSE(act_scn_idx,AV226,BW226,CX226))</f>
        <v>0</v>
      </c>
      <c r="U133" s="69">
        <f>IF(19&gt;act_horizon_n,"",CHOOSE(act_scn_idx,AW226,BX226,CY226))</f>
        <v>0</v>
      </c>
      <c r="V133" s="69">
        <f>IF(20&gt;act_horizon_n,"",CHOOSE(act_scn_idx,AX226,BY226,CZ226))</f>
        <v>0</v>
      </c>
      <c r="W133" s="69">
        <f>IF(21&gt;act_horizon_n,"",CHOOSE(act_scn_idx,AY226,BZ226,DA226))</f>
        <v>0</v>
      </c>
      <c r="X133" s="69">
        <f>IF(22&gt;act_horizon_n,"",CHOOSE(act_scn_idx,AZ226,CA226,DB226))</f>
        <v>0</v>
      </c>
      <c r="Y133" s="69">
        <f>IF(23&gt;act_horizon_n,"",CHOOSE(act_scn_idx,BA226,CB226,DC226))</f>
        <v>0</v>
      </c>
      <c r="Z133" s="69">
        <f>IF(24&gt;act_horizon_n,"",CHOOSE(act_scn_idx,BB226,CC226,DD226))</f>
        <v>0</v>
      </c>
      <c r="AA133" s="1"/>
      <c r="AB133" s="70">
        <f>CHOOSE(act_scn_idx,BC226,CD226,DE226)</f>
        <v>0</v>
      </c>
      <c r="AC133" s="70">
        <f>IF(act_horizon_n&lt;24,"",CHOOSE(act_scn_idx,BD226,CE226,DF226))</f>
        <v>0</v>
      </c>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c r="DH133"/>
    </row>
    <row r="134" spans="1:112" ht="20" customHeight="1" x14ac:dyDescent="0.2">
      <c r="A134" s="1"/>
      <c r="B134" s="22" t="s">
        <v>72</v>
      </c>
      <c r="C134" s="69">
        <f>IF(1&gt;act_horizon_n,"",CHOOSE(act_scn_idx,(-AE229+AE232+AE236),(-BF229+BF232+BF236),(-CG229+CG232+CG236)))</f>
        <v>0</v>
      </c>
      <c r="D134" s="69">
        <f>IF(2&gt;act_horizon_n,"",CHOOSE(act_scn_idx,(-AF229+AF232+AF236),(-BG229+BG232+BG236),(-CH229+CH232+CH236)))</f>
        <v>0</v>
      </c>
      <c r="E134" s="69">
        <f>IF(3&gt;act_horizon_n,"",CHOOSE(act_scn_idx,(-AG229+AG232+AG236),(-BH229+BH232+BH236),(-CI229+CI232+CI236)))</f>
        <v>0</v>
      </c>
      <c r="F134" s="69">
        <f>IF(4&gt;act_horizon_n,"",CHOOSE(act_scn_idx,(-AH229+AH232+AH236),(-BI229+BI232+BI236),(-CJ229+CJ232+CJ236)))</f>
        <v>0</v>
      </c>
      <c r="G134" s="69">
        <f>IF(5&gt;act_horizon_n,"",CHOOSE(act_scn_idx,(-AI229+AI232+AI236),(-BJ229+BJ232+BJ236),(-CK229+CK232+CK236)))</f>
        <v>0</v>
      </c>
      <c r="H134" s="69">
        <f>IF(6&gt;act_horizon_n,"",CHOOSE(act_scn_idx,(-AJ229+AJ232+AJ236),(-BK229+BK232+BK236),(-CL229+CL232+CL236)))</f>
        <v>0</v>
      </c>
      <c r="I134" s="69">
        <f>IF(7&gt;act_horizon_n,"",CHOOSE(act_scn_idx,(-AK229+AK232+AK236),(-BL229+BL232+BL236),(-CM229+CM232+CM236)))</f>
        <v>0</v>
      </c>
      <c r="J134" s="69">
        <f>IF(8&gt;act_horizon_n,"",CHOOSE(act_scn_idx,(-AL229+AL232+AL236),(-BM229+BM232+BM236),(-CN229+CN232+CN236)))</f>
        <v>0</v>
      </c>
      <c r="K134" s="69">
        <f>IF(9&gt;act_horizon_n,"",CHOOSE(act_scn_idx,(-AM229+AM232+AM236),(-BN229+BN232+BN236),(-CO229+CO232+CO236)))</f>
        <v>0</v>
      </c>
      <c r="L134" s="69">
        <f>IF(10&gt;act_horizon_n,"",CHOOSE(act_scn_idx,(-AN229+AN232+AN236),(-BO229+BO232+BO236),(-CP229+CP232+CP236)))</f>
        <v>0</v>
      </c>
      <c r="M134" s="69">
        <f>IF(11&gt;act_horizon_n,"",CHOOSE(act_scn_idx,(-AO229+AO232+AO236),(-BP229+BP232+BP236),(-CQ229+CQ232+CQ236)))</f>
        <v>0</v>
      </c>
      <c r="N134" s="69">
        <f>IF(12&gt;act_horizon_n,"",CHOOSE(act_scn_idx,(-AP229+AP232+AP236),(-BQ229+BQ232+BQ236),(-CR229+CR232+CR236)))</f>
        <v>0</v>
      </c>
      <c r="O134" s="69">
        <f>IF(13&gt;act_horizon_n,"",CHOOSE(act_scn_idx,(-AQ229+AQ232+AQ236),(-BR229+BR232+BR236),(-CS229+CS232+CS236)))</f>
        <v>0</v>
      </c>
      <c r="P134" s="69">
        <f>IF(14&gt;act_horizon_n,"",CHOOSE(act_scn_idx,(-AR229+AR232+AR236),(-BS229+BS232+BS236),(-CT229+CT232+CT236)))</f>
        <v>0</v>
      </c>
      <c r="Q134" s="69">
        <f>IF(15&gt;act_horizon_n,"",CHOOSE(act_scn_idx,(-AS229+AS232+AS236),(-BT229+BT232+BT236),(-CU229+CU232+CU236)))</f>
        <v>0</v>
      </c>
      <c r="R134" s="69">
        <f>IF(16&gt;act_horizon_n,"",CHOOSE(act_scn_idx,(-AT229+AT232+AT236),(-BU229+BU232+BU236),(-CV229+CV232+CV236)))</f>
        <v>0</v>
      </c>
      <c r="S134" s="69">
        <f>IF(17&gt;act_horizon_n,"",CHOOSE(act_scn_idx,(-AU229+AU232+AU236),(-BV229+BV232+BV236),(-CW229+CW232+CW236)))</f>
        <v>0</v>
      </c>
      <c r="T134" s="69">
        <f>IF(18&gt;act_horizon_n,"",CHOOSE(act_scn_idx,(-AV229+AV232+AV236),(-BW229+BW232+BW236),(-CX229+CX232+CX236)))</f>
        <v>0</v>
      </c>
      <c r="U134" s="69">
        <f>IF(19&gt;act_horizon_n,"",CHOOSE(act_scn_idx,(-AW229+AW232+AW236),(-BX229+BX232+BX236),(-CY229+CY232+CY236)))</f>
        <v>0</v>
      </c>
      <c r="V134" s="69">
        <f>IF(20&gt;act_horizon_n,"",CHOOSE(act_scn_idx,(-AX229+AX232+AX236),(-BY229+BY232+BY236),(-CZ229+CZ232+CZ236)))</f>
        <v>0</v>
      </c>
      <c r="W134" s="69">
        <f>IF(21&gt;act_horizon_n,"",CHOOSE(act_scn_idx,(-AY229+AY232+AY236),(-BZ229+BZ232+BZ236),(-DA229+DA232+DA236)))</f>
        <v>0</v>
      </c>
      <c r="X134" s="69">
        <f>IF(22&gt;act_horizon_n,"",CHOOSE(act_scn_idx,(-AZ229+AZ232+AZ236),(-CA229+CA232+CA236),(-DB229+DB232+DB236)))</f>
        <v>0</v>
      </c>
      <c r="Y134" s="69">
        <f>IF(23&gt;act_horizon_n,"",CHOOSE(act_scn_idx,(-BA229+BA232+BA236),(-CB229+CB232+CB236),(-DC229+DC232+DC236)))</f>
        <v>0</v>
      </c>
      <c r="Z134" s="69">
        <f>IF(24&gt;act_horizon_n,"",CHOOSE(act_scn_idx,(-BB229+BB232+BB236),(-CC229+CC232+CC236),(-DD229+DD232+DD236)))</f>
        <v>0</v>
      </c>
      <c r="AA134" s="1"/>
      <c r="AB134" s="70">
        <f>CHOOSE(act_scn_idx,(-BC229+BC232+BC236),(-CD229+CD232+CD236),(-DE229+DE232+DE236))</f>
        <v>0</v>
      </c>
      <c r="AC134" s="70">
        <f>IF(act_horizon_n&lt;24,"",CHOOSE(act_scn_idx,(-BD229+BD232+BD236),(-CE229+CE232+CE236),(-DF229+DF232+DF236)))</f>
        <v>0</v>
      </c>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c r="CS134" s="2"/>
      <c r="CT134" s="2"/>
      <c r="CU134" s="2"/>
      <c r="CV134" s="2"/>
      <c r="CW134" s="2"/>
      <c r="CX134" s="2"/>
      <c r="CY134" s="2"/>
      <c r="CZ134" s="2"/>
      <c r="DA134" s="2"/>
      <c r="DB134" s="2"/>
      <c r="DC134" s="2"/>
      <c r="DD134" s="2"/>
      <c r="DE134" s="2"/>
      <c r="DF134" s="2"/>
      <c r="DG134"/>
      <c r="DH134"/>
    </row>
    <row r="135" spans="1:112" ht="20" customHeight="1" x14ac:dyDescent="0.2">
      <c r="A135" s="1"/>
      <c r="B135" s="66" t="s">
        <v>73</v>
      </c>
      <c r="C135" s="71">
        <f>IF(1&gt;act_horizon_n,"",CHOOSE(act_scn_idx,AE237,BF237,CG237))</f>
        <v>0</v>
      </c>
      <c r="D135" s="71">
        <f>IF(2&gt;act_horizon_n,"",CHOOSE(act_scn_idx,AF237,BG237,CH237))</f>
        <v>0</v>
      </c>
      <c r="E135" s="71">
        <f>IF(3&gt;act_horizon_n,"",CHOOSE(act_scn_idx,AG237,BH237,CI237))</f>
        <v>0</v>
      </c>
      <c r="F135" s="71">
        <f>IF(4&gt;act_horizon_n,"",CHOOSE(act_scn_idx,AH237,BI237,CJ237))</f>
        <v>0</v>
      </c>
      <c r="G135" s="71">
        <f>IF(5&gt;act_horizon_n,"",CHOOSE(act_scn_idx,AI237,BJ237,CK237))</f>
        <v>0</v>
      </c>
      <c r="H135" s="71">
        <f>IF(6&gt;act_horizon_n,"",CHOOSE(act_scn_idx,AJ237,BK237,CL237))</f>
        <v>0</v>
      </c>
      <c r="I135" s="71">
        <f>IF(7&gt;act_horizon_n,"",CHOOSE(act_scn_idx,AK237,BL237,CM237))</f>
        <v>0</v>
      </c>
      <c r="J135" s="71">
        <f>IF(8&gt;act_horizon_n,"",CHOOSE(act_scn_idx,AL237,BM237,CN237))</f>
        <v>0</v>
      </c>
      <c r="K135" s="71">
        <f>IF(9&gt;act_horizon_n,"",CHOOSE(act_scn_idx,AM237,BN237,CO237))</f>
        <v>0</v>
      </c>
      <c r="L135" s="71">
        <f>IF(10&gt;act_horizon_n,"",CHOOSE(act_scn_idx,AN237,BO237,CP237))</f>
        <v>0</v>
      </c>
      <c r="M135" s="71">
        <f>IF(11&gt;act_horizon_n,"",CHOOSE(act_scn_idx,AO237,BP237,CQ237))</f>
        <v>0</v>
      </c>
      <c r="N135" s="71">
        <f>IF(12&gt;act_horizon_n,"",CHOOSE(act_scn_idx,AP237,BQ237,CR237))</f>
        <v>0</v>
      </c>
      <c r="O135" s="71">
        <f>IF(13&gt;act_horizon_n,"",CHOOSE(act_scn_idx,AQ237,BR237,CS237))</f>
        <v>0</v>
      </c>
      <c r="P135" s="71">
        <f>IF(14&gt;act_horizon_n,"",CHOOSE(act_scn_idx,AR237,BS237,CT237))</f>
        <v>0</v>
      </c>
      <c r="Q135" s="71">
        <f>IF(15&gt;act_horizon_n,"",CHOOSE(act_scn_idx,AS237,BT237,CU237))</f>
        <v>0</v>
      </c>
      <c r="R135" s="71">
        <f>IF(16&gt;act_horizon_n,"",CHOOSE(act_scn_idx,AT237,BU237,CV237))</f>
        <v>0</v>
      </c>
      <c r="S135" s="71">
        <f>IF(17&gt;act_horizon_n,"",CHOOSE(act_scn_idx,AU237,BV237,CW237))</f>
        <v>0</v>
      </c>
      <c r="T135" s="71">
        <f>IF(18&gt;act_horizon_n,"",CHOOSE(act_scn_idx,AV237,BW237,CX237))</f>
        <v>0</v>
      </c>
      <c r="U135" s="71">
        <f>IF(19&gt;act_horizon_n,"",CHOOSE(act_scn_idx,AW237,BX237,CY237))</f>
        <v>0</v>
      </c>
      <c r="V135" s="71">
        <f>IF(20&gt;act_horizon_n,"",CHOOSE(act_scn_idx,AX237,BY237,CZ237))</f>
        <v>0</v>
      </c>
      <c r="W135" s="71">
        <f>IF(21&gt;act_horizon_n,"",CHOOSE(act_scn_idx,AY237,BZ237,DA237))</f>
        <v>0</v>
      </c>
      <c r="X135" s="71">
        <f>IF(22&gt;act_horizon_n,"",CHOOSE(act_scn_idx,AZ237,CA237,DB237))</f>
        <v>0</v>
      </c>
      <c r="Y135" s="71">
        <f>IF(23&gt;act_horizon_n,"",CHOOSE(act_scn_idx,BA237,CB237,DC237))</f>
        <v>0</v>
      </c>
      <c r="Z135" s="71">
        <f>IF(24&gt;act_horizon_n,"",CHOOSE(act_scn_idx,BB237,CC237,DD237))</f>
        <v>0</v>
      </c>
      <c r="AA135" s="1"/>
      <c r="AB135" s="72">
        <f>CHOOSE(act_scn_idx,BC237,CD237,DE237)</f>
        <v>0</v>
      </c>
      <c r="AC135" s="72">
        <f>IF(act_horizon_n&lt;24,"",CHOOSE(act_scn_idx,BD237,CE237,DF237))</f>
        <v>0</v>
      </c>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c r="CS135" s="2"/>
      <c r="CT135" s="2"/>
      <c r="CU135" s="2"/>
      <c r="CV135" s="2"/>
      <c r="CW135" s="2"/>
      <c r="CX135" s="2"/>
      <c r="CY135" s="2"/>
      <c r="CZ135" s="2"/>
      <c r="DA135" s="2"/>
      <c r="DB135" s="2"/>
      <c r="DC135" s="2"/>
      <c r="DD135" s="2"/>
      <c r="DE135" s="2"/>
      <c r="DF135" s="2"/>
      <c r="DG135"/>
      <c r="DH135"/>
    </row>
    <row r="136" spans="1:112" x14ac:dyDescent="0.2">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c r="CS136" s="2"/>
      <c r="CT136" s="2"/>
      <c r="CU136" s="2"/>
      <c r="CV136" s="2"/>
      <c r="CW136" s="2"/>
      <c r="CX136" s="2"/>
      <c r="CY136" s="2"/>
      <c r="CZ136" s="2"/>
      <c r="DA136" s="2"/>
      <c r="DB136" s="2"/>
      <c r="DC136" s="2"/>
      <c r="DD136" s="2"/>
      <c r="DE136" s="2"/>
      <c r="DF136" s="2"/>
      <c r="DG136"/>
      <c r="DH136"/>
    </row>
    <row r="137" spans="1:112" ht="22" customHeight="1" x14ac:dyDescent="0.2">
      <c r="A137" s="1"/>
      <c r="B137" s="57" t="s">
        <v>74</v>
      </c>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c r="AA137" s="20"/>
      <c r="AB137" s="20"/>
      <c r="AC137" s="21" t="s">
        <v>75</v>
      </c>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c r="CS137" s="2"/>
      <c r="CT137" s="2"/>
      <c r="CU137" s="2"/>
      <c r="CV137" s="2"/>
      <c r="CW137" s="2"/>
      <c r="CX137" s="2"/>
      <c r="CY137" s="2"/>
      <c r="CZ137" s="2"/>
      <c r="DA137" s="2"/>
      <c r="DB137" s="2"/>
      <c r="DC137" s="2"/>
      <c r="DD137" s="2"/>
      <c r="DE137" s="2"/>
      <c r="DF137" s="2"/>
      <c r="DG137"/>
      <c r="DH137"/>
    </row>
    <row r="138" spans="1:112" ht="22" customHeight="1" x14ac:dyDescent="0.2">
      <c r="A138" s="1"/>
      <c r="B138" s="27"/>
      <c r="C138" s="28" t="s">
        <v>44</v>
      </c>
      <c r="D138" s="28" t="s">
        <v>45</v>
      </c>
      <c r="E138" s="28" t="s">
        <v>46</v>
      </c>
      <c r="F138" s="28" t="s">
        <v>47</v>
      </c>
      <c r="G138" s="28" t="s">
        <v>48</v>
      </c>
      <c r="H138" s="28" t="s">
        <v>49</v>
      </c>
      <c r="I138" s="28" t="s">
        <v>50</v>
      </c>
      <c r="J138" s="28" t="s">
        <v>51</v>
      </c>
      <c r="K138" s="28" t="s">
        <v>52</v>
      </c>
      <c r="L138" s="28" t="s">
        <v>53</v>
      </c>
      <c r="M138" s="28" t="s">
        <v>54</v>
      </c>
      <c r="N138" s="28" t="s">
        <v>55</v>
      </c>
      <c r="O138" s="28" t="s">
        <v>56</v>
      </c>
      <c r="P138" s="28" t="s">
        <v>57</v>
      </c>
      <c r="Q138" s="28" t="s">
        <v>58</v>
      </c>
      <c r="R138" s="28" t="s">
        <v>59</v>
      </c>
      <c r="S138" s="28" t="s">
        <v>60</v>
      </c>
      <c r="T138" s="28" t="s">
        <v>61</v>
      </c>
      <c r="U138" s="28" t="s">
        <v>62</v>
      </c>
      <c r="V138" s="28" t="s">
        <v>63</v>
      </c>
      <c r="W138" s="28" t="s">
        <v>64</v>
      </c>
      <c r="X138" s="28" t="s">
        <v>65</v>
      </c>
      <c r="Y138" s="28" t="s">
        <v>66</v>
      </c>
      <c r="Z138" s="28" t="s">
        <v>67</v>
      </c>
      <c r="AA138" s="1"/>
      <c r="AB138" s="28" t="s">
        <v>76</v>
      </c>
      <c r="AC138" s="28" t="s">
        <v>77</v>
      </c>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c r="CS138" s="2"/>
      <c r="CT138" s="2"/>
      <c r="CU138" s="2"/>
      <c r="CV138" s="2"/>
      <c r="CW138" s="2"/>
      <c r="CX138" s="2"/>
      <c r="CY138" s="2"/>
      <c r="CZ138" s="2"/>
      <c r="DA138" s="2"/>
      <c r="DB138" s="2"/>
      <c r="DC138" s="2"/>
      <c r="DD138" s="2"/>
      <c r="DE138" s="2"/>
      <c r="DF138" s="2"/>
      <c r="DG138"/>
      <c r="DH138"/>
    </row>
    <row r="139" spans="1:112" ht="20" customHeight="1" x14ac:dyDescent="0.2">
      <c r="A139" s="1"/>
      <c r="B139" s="30" t="s">
        <v>78</v>
      </c>
      <c r="C139" s="69">
        <f>IF(1&gt;act_horizon_n,"",CHOOSE(act_scn_idx,AE211,BF211,CG211))</f>
        <v>0</v>
      </c>
      <c r="D139" s="69">
        <f>IF(2&gt;act_horizon_n,"",CHOOSE(act_scn_idx,AF211,BG211,CH211))</f>
        <v>0</v>
      </c>
      <c r="E139" s="69">
        <f>IF(3&gt;act_horizon_n,"",CHOOSE(act_scn_idx,AG211,BH211,CI211))</f>
        <v>0</v>
      </c>
      <c r="F139" s="69">
        <f>IF(4&gt;act_horizon_n,"",CHOOSE(act_scn_idx,AH211,BI211,CJ211))</f>
        <v>0</v>
      </c>
      <c r="G139" s="69">
        <f>IF(5&gt;act_horizon_n,"",CHOOSE(act_scn_idx,AI211,BJ211,CK211))</f>
        <v>0</v>
      </c>
      <c r="H139" s="69">
        <f>IF(6&gt;act_horizon_n,"",CHOOSE(act_scn_idx,AJ211,BK211,CL211))</f>
        <v>0</v>
      </c>
      <c r="I139" s="69">
        <f>IF(7&gt;act_horizon_n,"",CHOOSE(act_scn_idx,AK211,BL211,CM211))</f>
        <v>0</v>
      </c>
      <c r="J139" s="69">
        <f>IF(8&gt;act_horizon_n,"",CHOOSE(act_scn_idx,AL211,BM211,CN211))</f>
        <v>0</v>
      </c>
      <c r="K139" s="69">
        <f>IF(9&gt;act_horizon_n,"",CHOOSE(act_scn_idx,AM211,BN211,CO211))</f>
        <v>0</v>
      </c>
      <c r="L139" s="69">
        <f>IF(10&gt;act_horizon_n,"",CHOOSE(act_scn_idx,AN211,BO211,CP211))</f>
        <v>0</v>
      </c>
      <c r="M139" s="69">
        <f>IF(11&gt;act_horizon_n,"",CHOOSE(act_scn_idx,AO211,BP211,CQ211))</f>
        <v>0</v>
      </c>
      <c r="N139" s="69">
        <f>IF(12&gt;act_horizon_n,"",CHOOSE(act_scn_idx,AP211,BQ211,CR211))</f>
        <v>0</v>
      </c>
      <c r="O139" s="69">
        <f>IF(13&gt;act_horizon_n,"",CHOOSE(act_scn_idx,AQ211,BR211,CS211))</f>
        <v>0</v>
      </c>
      <c r="P139" s="69">
        <f>IF(14&gt;act_horizon_n,"",CHOOSE(act_scn_idx,AR211,BS211,CT211))</f>
        <v>0</v>
      </c>
      <c r="Q139" s="69">
        <f>IF(15&gt;act_horizon_n,"",CHOOSE(act_scn_idx,AS211,BT211,CU211))</f>
        <v>0</v>
      </c>
      <c r="R139" s="69">
        <f>IF(16&gt;act_horizon_n,"",CHOOSE(act_scn_idx,AT211,BU211,CV211))</f>
        <v>0</v>
      </c>
      <c r="S139" s="69">
        <f>IF(17&gt;act_horizon_n,"",CHOOSE(act_scn_idx,AU211,BV211,CW211))</f>
        <v>0</v>
      </c>
      <c r="T139" s="69">
        <f>IF(18&gt;act_horizon_n,"",CHOOSE(act_scn_idx,AV211,BW211,CX211))</f>
        <v>0</v>
      </c>
      <c r="U139" s="69">
        <f>IF(19&gt;act_horizon_n,"",CHOOSE(act_scn_idx,AW211,BX211,CY211))</f>
        <v>0</v>
      </c>
      <c r="V139" s="69">
        <f>IF(20&gt;act_horizon_n,"",CHOOSE(act_scn_idx,AX211,BY211,CZ211))</f>
        <v>0</v>
      </c>
      <c r="W139" s="69">
        <f>IF(21&gt;act_horizon_n,"",CHOOSE(act_scn_idx,AY211,BZ211,DA211))</f>
        <v>0</v>
      </c>
      <c r="X139" s="69">
        <f>IF(22&gt;act_horizon_n,"",CHOOSE(act_scn_idx,AZ211,CA211,DB211))</f>
        <v>0</v>
      </c>
      <c r="Y139" s="69">
        <f>IF(23&gt;act_horizon_n,"",CHOOSE(act_scn_idx,BA211,CB211,DC211))</f>
        <v>0</v>
      </c>
      <c r="Z139" s="69">
        <f>IF(24&gt;act_horizon_n,"",CHOOSE(act_scn_idx,BB211,CC211,DD211))</f>
        <v>0</v>
      </c>
      <c r="AA139" s="1"/>
      <c r="AB139" s="70">
        <f>CHOOSE(act_scn_idx,BC211,CD211,DE211)</f>
        <v>0</v>
      </c>
      <c r="AC139" s="70">
        <f>IF(act_horizon_n&lt;24,"",CHOOSE(act_scn_idx,BD211,CE211,DF211))</f>
        <v>0</v>
      </c>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c r="CS139" s="2"/>
      <c r="CT139" s="2"/>
      <c r="CU139" s="2"/>
      <c r="CV139" s="2"/>
      <c r="CW139" s="2"/>
      <c r="CX139" s="2"/>
      <c r="CY139" s="2"/>
      <c r="CZ139" s="2"/>
      <c r="DA139" s="2"/>
      <c r="DB139" s="2"/>
      <c r="DC139" s="2"/>
      <c r="DD139" s="2"/>
      <c r="DE139" s="2"/>
      <c r="DF139" s="2"/>
      <c r="DG139"/>
      <c r="DH139"/>
    </row>
    <row r="140" spans="1:112" ht="20" customHeight="1" x14ac:dyDescent="0.2">
      <c r="A140" s="1"/>
      <c r="B140" s="22" t="s">
        <v>79</v>
      </c>
      <c r="C140" s="69">
        <f>IF(1&gt;act_horizon_n,"",CHOOSE(act_scn_idx,AE279,BF279,CG279))</f>
        <v>0</v>
      </c>
      <c r="D140" s="69">
        <f>IF(2&gt;act_horizon_n,"",CHOOSE(act_scn_idx,AF279,BG279,CH279))</f>
        <v>0</v>
      </c>
      <c r="E140" s="69">
        <f>IF(3&gt;act_horizon_n,"",CHOOSE(act_scn_idx,AG279,BH279,CI279))</f>
        <v>0</v>
      </c>
      <c r="F140" s="69">
        <f>IF(4&gt;act_horizon_n,"",CHOOSE(act_scn_idx,AH279,BI279,CJ279))</f>
        <v>0</v>
      </c>
      <c r="G140" s="69">
        <f>IF(5&gt;act_horizon_n,"",CHOOSE(act_scn_idx,AI279,BJ279,CK279))</f>
        <v>0</v>
      </c>
      <c r="H140" s="69">
        <f>IF(6&gt;act_horizon_n,"",CHOOSE(act_scn_idx,AJ279,BK279,CL279))</f>
        <v>0</v>
      </c>
      <c r="I140" s="69">
        <f>IF(7&gt;act_horizon_n,"",CHOOSE(act_scn_idx,AK279,BL279,CM279))</f>
        <v>0</v>
      </c>
      <c r="J140" s="69">
        <f>IF(8&gt;act_horizon_n,"",CHOOSE(act_scn_idx,AL279,BM279,CN279))</f>
        <v>0</v>
      </c>
      <c r="K140" s="69">
        <f>IF(9&gt;act_horizon_n,"",CHOOSE(act_scn_idx,AM279,BN279,CO279))</f>
        <v>0</v>
      </c>
      <c r="L140" s="69">
        <f>IF(10&gt;act_horizon_n,"",CHOOSE(act_scn_idx,AN279,BO279,CP279))</f>
        <v>0</v>
      </c>
      <c r="M140" s="69">
        <f>IF(11&gt;act_horizon_n,"",CHOOSE(act_scn_idx,AO279,BP279,CQ279))</f>
        <v>0</v>
      </c>
      <c r="N140" s="69">
        <f>IF(12&gt;act_horizon_n,"",CHOOSE(act_scn_idx,AP279,BQ279,CR279))</f>
        <v>0</v>
      </c>
      <c r="O140" s="69">
        <f>IF(13&gt;act_horizon_n,"",CHOOSE(act_scn_idx,AQ279,BR279,CS279))</f>
        <v>0</v>
      </c>
      <c r="P140" s="69">
        <f>IF(14&gt;act_horizon_n,"",CHOOSE(act_scn_idx,AR279,BS279,CT279))</f>
        <v>0</v>
      </c>
      <c r="Q140" s="69">
        <f>IF(15&gt;act_horizon_n,"",CHOOSE(act_scn_idx,AS279,BT279,CU279))</f>
        <v>0</v>
      </c>
      <c r="R140" s="69">
        <f>IF(16&gt;act_horizon_n,"",CHOOSE(act_scn_idx,AT279,BU279,CV279))</f>
        <v>0</v>
      </c>
      <c r="S140" s="69">
        <f>IF(17&gt;act_horizon_n,"",CHOOSE(act_scn_idx,AU279,BV279,CW279))</f>
        <v>0</v>
      </c>
      <c r="T140" s="69">
        <f>IF(18&gt;act_horizon_n,"",CHOOSE(act_scn_idx,AV279,BW279,CX279))</f>
        <v>0</v>
      </c>
      <c r="U140" s="69">
        <f>IF(19&gt;act_horizon_n,"",CHOOSE(act_scn_idx,AW279,BX279,CY279))</f>
        <v>0</v>
      </c>
      <c r="V140" s="69">
        <f>IF(20&gt;act_horizon_n,"",CHOOSE(act_scn_idx,AX279,BY279,CZ279))</f>
        <v>0</v>
      </c>
      <c r="W140" s="69">
        <f>IF(21&gt;act_horizon_n,"",CHOOSE(act_scn_idx,AY279,BZ279,DA279))</f>
        <v>0</v>
      </c>
      <c r="X140" s="69">
        <f>IF(22&gt;act_horizon_n,"",CHOOSE(act_scn_idx,AZ279,CA279,DB279))</f>
        <v>0</v>
      </c>
      <c r="Y140" s="69">
        <f>IF(23&gt;act_horizon_n,"",CHOOSE(act_scn_idx,BA279,CB279,DC279))</f>
        <v>0</v>
      </c>
      <c r="Z140" s="69">
        <f>IF(24&gt;act_horizon_n,"",CHOOSE(act_scn_idx,BB279,CC279,DD279))</f>
        <v>0</v>
      </c>
      <c r="AA140" s="1"/>
      <c r="AB140" s="70">
        <f>CHOOSE(act_scn_idx,BC279,CD279,DE279)</f>
        <v>0</v>
      </c>
      <c r="AC140" s="70">
        <f>IF(act_horizon_n&lt;24,"",CHOOSE(act_scn_idx,BD279,CE279,DF279))</f>
        <v>0</v>
      </c>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c r="CS140" s="2"/>
      <c r="CT140" s="2"/>
      <c r="CU140" s="2"/>
      <c r="CV140" s="2"/>
      <c r="CW140" s="2"/>
      <c r="CX140" s="2"/>
      <c r="CY140" s="2"/>
      <c r="CZ140" s="2"/>
      <c r="DA140" s="2"/>
      <c r="DB140" s="2"/>
      <c r="DC140" s="2"/>
      <c r="DD140" s="2"/>
      <c r="DE140" s="2"/>
      <c r="DF140" s="2"/>
      <c r="DG140"/>
      <c r="DH140"/>
    </row>
    <row r="141" spans="1:112" ht="20" customHeight="1" x14ac:dyDescent="0.2">
      <c r="A141" s="1"/>
      <c r="B141" s="30" t="s">
        <v>80</v>
      </c>
      <c r="C141" s="73">
        <f>IF(1&gt;act_horizon_n,"",CHOOSE(act_scn_idx,AE280,BF280,CG280))</f>
        <v>0</v>
      </c>
      <c r="D141" s="73">
        <f>IF(2&gt;act_horizon_n,"",CHOOSE(act_scn_idx,AF280,BG280,CH280))</f>
        <v>0</v>
      </c>
      <c r="E141" s="73">
        <f>IF(3&gt;act_horizon_n,"",CHOOSE(act_scn_idx,AG280,BH280,CI280))</f>
        <v>0</v>
      </c>
      <c r="F141" s="73">
        <f>IF(4&gt;act_horizon_n,"",CHOOSE(act_scn_idx,AH280,BI280,CJ280))</f>
        <v>0</v>
      </c>
      <c r="G141" s="73">
        <f>IF(5&gt;act_horizon_n,"",CHOOSE(act_scn_idx,AI280,BJ280,CK280))</f>
        <v>0</v>
      </c>
      <c r="H141" s="73">
        <f>IF(6&gt;act_horizon_n,"",CHOOSE(act_scn_idx,AJ280,BK280,CL280))</f>
        <v>0</v>
      </c>
      <c r="I141" s="73">
        <f>IF(7&gt;act_horizon_n,"",CHOOSE(act_scn_idx,AK280,BL280,CM280))</f>
        <v>0</v>
      </c>
      <c r="J141" s="73">
        <f>IF(8&gt;act_horizon_n,"",CHOOSE(act_scn_idx,AL280,BM280,CN280))</f>
        <v>0</v>
      </c>
      <c r="K141" s="73">
        <f>IF(9&gt;act_horizon_n,"",CHOOSE(act_scn_idx,AM280,BN280,CO280))</f>
        <v>0</v>
      </c>
      <c r="L141" s="73">
        <f>IF(10&gt;act_horizon_n,"",CHOOSE(act_scn_idx,AN280,BO280,CP280))</f>
        <v>0</v>
      </c>
      <c r="M141" s="73">
        <f>IF(11&gt;act_horizon_n,"",CHOOSE(act_scn_idx,AO280,BP280,CQ280))</f>
        <v>0</v>
      </c>
      <c r="N141" s="73">
        <f>IF(12&gt;act_horizon_n,"",CHOOSE(act_scn_idx,AP280,BQ280,CR280))</f>
        <v>0</v>
      </c>
      <c r="O141" s="73">
        <f>IF(13&gt;act_horizon_n,"",CHOOSE(act_scn_idx,AQ280,BR280,CS280))</f>
        <v>0</v>
      </c>
      <c r="P141" s="73">
        <f>IF(14&gt;act_horizon_n,"",CHOOSE(act_scn_idx,AR280,BS280,CT280))</f>
        <v>0</v>
      </c>
      <c r="Q141" s="73">
        <f>IF(15&gt;act_horizon_n,"",CHOOSE(act_scn_idx,AS280,BT280,CU280))</f>
        <v>0</v>
      </c>
      <c r="R141" s="73">
        <f>IF(16&gt;act_horizon_n,"",CHOOSE(act_scn_idx,AT280,BU280,CV280))</f>
        <v>0</v>
      </c>
      <c r="S141" s="73">
        <f>IF(17&gt;act_horizon_n,"",CHOOSE(act_scn_idx,AU280,BV280,CW280))</f>
        <v>0</v>
      </c>
      <c r="T141" s="73">
        <f>IF(18&gt;act_horizon_n,"",CHOOSE(act_scn_idx,AV280,BW280,CX280))</f>
        <v>0</v>
      </c>
      <c r="U141" s="73">
        <f>IF(19&gt;act_horizon_n,"",CHOOSE(act_scn_idx,AW280,BX280,CY280))</f>
        <v>0</v>
      </c>
      <c r="V141" s="73">
        <f>IF(20&gt;act_horizon_n,"",CHOOSE(act_scn_idx,AX280,BY280,CZ280))</f>
        <v>0</v>
      </c>
      <c r="W141" s="73">
        <f>IF(21&gt;act_horizon_n,"",CHOOSE(act_scn_idx,AY280,BZ280,DA280))</f>
        <v>0</v>
      </c>
      <c r="X141" s="73">
        <f>IF(22&gt;act_horizon_n,"",CHOOSE(act_scn_idx,AZ280,CA280,DB280))</f>
        <v>0</v>
      </c>
      <c r="Y141" s="73">
        <f>IF(23&gt;act_horizon_n,"",CHOOSE(act_scn_idx,BA280,CB280,DC280))</f>
        <v>0</v>
      </c>
      <c r="Z141" s="73">
        <f>IF(24&gt;act_horizon_n,"",CHOOSE(act_scn_idx,BB280,CC280,DD280))</f>
        <v>0</v>
      </c>
      <c r="AA141" s="1"/>
      <c r="AB141" s="74">
        <f>CHOOSE(act_scn_idx,BC280,CD280,DE280)</f>
        <v>0</v>
      </c>
      <c r="AC141" s="74">
        <f>IF(act_horizon_n&lt;24,"",CHOOSE(act_scn_idx,BD280,CE280,DF280))</f>
        <v>0</v>
      </c>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c r="CS141" s="2"/>
      <c r="CT141" s="2"/>
      <c r="CU141" s="2"/>
      <c r="CV141" s="2"/>
      <c r="CW141" s="2"/>
      <c r="CX141" s="2"/>
      <c r="CY141" s="2"/>
      <c r="CZ141" s="2"/>
      <c r="DA141" s="2"/>
      <c r="DB141" s="2"/>
      <c r="DC141" s="2"/>
      <c r="DD141" s="2"/>
      <c r="DE141" s="2"/>
      <c r="DF141" s="2"/>
      <c r="DG141"/>
      <c r="DH141"/>
    </row>
    <row r="142" spans="1:112" ht="20" customHeight="1" x14ac:dyDescent="0.2">
      <c r="A142" s="1"/>
      <c r="B142" s="22" t="s">
        <v>401</v>
      </c>
      <c r="C142" s="73">
        <f>IF(1&gt;act_horizon_n,"",CHOOSE(act_scn_idx,AE282,BF282,CG282))</f>
        <v>0</v>
      </c>
      <c r="D142" s="73">
        <f>IF(2&gt;act_horizon_n,"",CHOOSE(act_scn_idx,AF282,BG282,CH282))</f>
        <v>0</v>
      </c>
      <c r="E142" s="73">
        <f>IF(3&gt;act_horizon_n,"",CHOOSE(act_scn_idx,AG282,BH282,CI282))</f>
        <v>0</v>
      </c>
      <c r="F142" s="73">
        <f>IF(4&gt;act_horizon_n,"",CHOOSE(act_scn_idx,AH282,BI282,CJ282))</f>
        <v>0</v>
      </c>
      <c r="G142" s="73">
        <f>IF(5&gt;act_horizon_n,"",CHOOSE(act_scn_idx,AI282,BJ282,CK282))</f>
        <v>0</v>
      </c>
      <c r="H142" s="73">
        <f>IF(6&gt;act_horizon_n,"",CHOOSE(act_scn_idx,AJ282,BK282,CL282))</f>
        <v>0</v>
      </c>
      <c r="I142" s="73">
        <f>IF(7&gt;act_horizon_n,"",CHOOSE(act_scn_idx,AK282,BL282,CM282))</f>
        <v>0</v>
      </c>
      <c r="J142" s="73">
        <f>IF(8&gt;act_horizon_n,"",CHOOSE(act_scn_idx,AL282,BM282,CN282))</f>
        <v>0</v>
      </c>
      <c r="K142" s="73">
        <f>IF(9&gt;act_horizon_n,"",CHOOSE(act_scn_idx,AM282,BN282,CO282))</f>
        <v>0</v>
      </c>
      <c r="L142" s="73">
        <f>IF(10&gt;act_horizon_n,"",CHOOSE(act_scn_idx,AN282,BO282,CP282))</f>
        <v>0</v>
      </c>
      <c r="M142" s="73">
        <f>IF(11&gt;act_horizon_n,"",CHOOSE(act_scn_idx,AO282,BP282,CQ282))</f>
        <v>0</v>
      </c>
      <c r="N142" s="73">
        <f>IF(12&gt;act_horizon_n,"",CHOOSE(act_scn_idx,AP282,BQ282,CR282))</f>
        <v>0</v>
      </c>
      <c r="O142" s="73">
        <f>IF(13&gt;act_horizon_n,"",CHOOSE(act_scn_idx,AQ282,BR282,CS282))</f>
        <v>0</v>
      </c>
      <c r="P142" s="73">
        <f>IF(14&gt;act_horizon_n,"",CHOOSE(act_scn_idx,AR282,BS282,CT282))</f>
        <v>0</v>
      </c>
      <c r="Q142" s="73">
        <f>IF(15&gt;act_horizon_n,"",CHOOSE(act_scn_idx,AS282,BT282,CU282))</f>
        <v>0</v>
      </c>
      <c r="R142" s="73">
        <f>IF(16&gt;act_horizon_n,"",CHOOSE(act_scn_idx,AT282,BU282,CV282))</f>
        <v>0</v>
      </c>
      <c r="S142" s="73">
        <f>IF(17&gt;act_horizon_n,"",CHOOSE(act_scn_idx,AU282,BV282,CW282))</f>
        <v>0</v>
      </c>
      <c r="T142" s="73">
        <f>IF(18&gt;act_horizon_n,"",CHOOSE(act_scn_idx,AV282,BW282,CX282))</f>
        <v>0</v>
      </c>
      <c r="U142" s="73">
        <f>IF(19&gt;act_horizon_n,"",CHOOSE(act_scn_idx,AW282,BX282,CY282))</f>
        <v>0</v>
      </c>
      <c r="V142" s="73">
        <f>IF(20&gt;act_horizon_n,"",CHOOSE(act_scn_idx,AX282,BY282,CZ282))</f>
        <v>0</v>
      </c>
      <c r="W142" s="73">
        <f>IF(21&gt;act_horizon_n,"",CHOOSE(act_scn_idx,AY282,BZ282,DA282))</f>
        <v>0</v>
      </c>
      <c r="X142" s="73">
        <f>IF(22&gt;act_horizon_n,"",CHOOSE(act_scn_idx,AZ282,CA282,DB282))</f>
        <v>0</v>
      </c>
      <c r="Y142" s="73">
        <f>IF(23&gt;act_horizon_n,"",CHOOSE(act_scn_idx,BA282,CB282,DC282))</f>
        <v>0</v>
      </c>
      <c r="Z142" s="73">
        <f>IF(24&gt;act_horizon_n,"",CHOOSE(act_scn_idx,BB282,CC282,DD282))</f>
        <v>0</v>
      </c>
      <c r="AA142" s="1"/>
      <c r="AB142" s="74">
        <f>CHOOSE(act_scn_idx,BC282,CD282,DE282)</f>
        <v>0</v>
      </c>
      <c r="AC142" s="74">
        <f>IF(act_horizon_n&lt;24,"",CHOOSE(act_scn_idx,BD282,CE282,DF282))</f>
        <v>0</v>
      </c>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c r="CS142" s="2"/>
      <c r="CT142" s="2"/>
      <c r="CU142" s="2"/>
      <c r="CV142" s="2"/>
      <c r="CW142" s="2"/>
      <c r="CX142" s="2"/>
      <c r="CY142" s="2"/>
      <c r="CZ142" s="2"/>
      <c r="DA142" s="2"/>
      <c r="DB142" s="2"/>
      <c r="DC142" s="2"/>
      <c r="DD142" s="2"/>
      <c r="DE142" s="2"/>
      <c r="DF142" s="2"/>
      <c r="DG142"/>
      <c r="DH142"/>
    </row>
    <row r="143" spans="1:112" ht="20" customHeight="1" x14ac:dyDescent="0.2">
      <c r="A143" s="1"/>
      <c r="B143" s="22" t="s">
        <v>81</v>
      </c>
      <c r="C143" s="73">
        <f>IF(1&gt;act_horizon_n,"",CHOOSE(act_scn_idx,AE281,BF281,CG281))</f>
        <v>0</v>
      </c>
      <c r="D143" s="73">
        <f>IF(2&gt;act_horizon_n,"",CHOOSE(act_scn_idx,AF281,BG281,CH281))</f>
        <v>0</v>
      </c>
      <c r="E143" s="73">
        <f>IF(3&gt;act_horizon_n,"",CHOOSE(act_scn_idx,AG281,BH281,CI281))</f>
        <v>0</v>
      </c>
      <c r="F143" s="73">
        <f>IF(4&gt;act_horizon_n,"",CHOOSE(act_scn_idx,AH281,BI281,CJ281))</f>
        <v>0</v>
      </c>
      <c r="G143" s="73">
        <f>IF(5&gt;act_horizon_n,"",CHOOSE(act_scn_idx,AI281,BJ281,CK281))</f>
        <v>0</v>
      </c>
      <c r="H143" s="73">
        <f>IF(6&gt;act_horizon_n,"",CHOOSE(act_scn_idx,AJ281,BK281,CL281))</f>
        <v>0</v>
      </c>
      <c r="I143" s="73">
        <f>IF(7&gt;act_horizon_n,"",CHOOSE(act_scn_idx,AK281,BL281,CM281))</f>
        <v>0</v>
      </c>
      <c r="J143" s="73">
        <f>IF(8&gt;act_horizon_n,"",CHOOSE(act_scn_idx,AL281,BM281,CN281))</f>
        <v>0</v>
      </c>
      <c r="K143" s="73">
        <f>IF(9&gt;act_horizon_n,"",CHOOSE(act_scn_idx,AM281,BN281,CO281))</f>
        <v>0</v>
      </c>
      <c r="L143" s="73">
        <f>IF(10&gt;act_horizon_n,"",CHOOSE(act_scn_idx,AN281,BO281,CP281))</f>
        <v>0</v>
      </c>
      <c r="M143" s="73">
        <f>IF(11&gt;act_horizon_n,"",CHOOSE(act_scn_idx,AO281,BP281,CQ281))</f>
        <v>0</v>
      </c>
      <c r="N143" s="73">
        <f>IF(12&gt;act_horizon_n,"",CHOOSE(act_scn_idx,AP281,BQ281,CR281))</f>
        <v>0</v>
      </c>
      <c r="O143" s="73">
        <f>IF(13&gt;act_horizon_n,"",CHOOSE(act_scn_idx,AQ281,BR281,CS281))</f>
        <v>0</v>
      </c>
      <c r="P143" s="73">
        <f>IF(14&gt;act_horizon_n,"",CHOOSE(act_scn_idx,AR281,BS281,CT281))</f>
        <v>0</v>
      </c>
      <c r="Q143" s="73">
        <f>IF(15&gt;act_horizon_n,"",CHOOSE(act_scn_idx,AS281,BT281,CU281))</f>
        <v>0</v>
      </c>
      <c r="R143" s="73">
        <f>IF(16&gt;act_horizon_n,"",CHOOSE(act_scn_idx,AT281,BU281,CV281))</f>
        <v>0</v>
      </c>
      <c r="S143" s="73">
        <f>IF(17&gt;act_horizon_n,"",CHOOSE(act_scn_idx,AU281,BV281,CW281))</f>
        <v>0</v>
      </c>
      <c r="T143" s="73">
        <f>IF(18&gt;act_horizon_n,"",CHOOSE(act_scn_idx,AV281,BW281,CX281))</f>
        <v>0</v>
      </c>
      <c r="U143" s="73">
        <f>IF(19&gt;act_horizon_n,"",CHOOSE(act_scn_idx,AW281,BX281,CY281))</f>
        <v>0</v>
      </c>
      <c r="V143" s="73">
        <f>IF(20&gt;act_horizon_n,"",CHOOSE(act_scn_idx,AX281,BY281,CZ281))</f>
        <v>0</v>
      </c>
      <c r="W143" s="73">
        <f>IF(21&gt;act_horizon_n,"",CHOOSE(act_scn_idx,AY281,BZ281,DA281))</f>
        <v>0</v>
      </c>
      <c r="X143" s="73">
        <f>IF(22&gt;act_horizon_n,"",CHOOSE(act_scn_idx,AZ281,CA281,DB281))</f>
        <v>0</v>
      </c>
      <c r="Y143" s="73">
        <f>IF(23&gt;act_horizon_n,"",CHOOSE(act_scn_idx,BA281,CB281,DC281))</f>
        <v>0</v>
      </c>
      <c r="Z143" s="73">
        <f>IF(24&gt;act_horizon_n,"",CHOOSE(act_scn_idx,BB281,CC281,DD281))</f>
        <v>0</v>
      </c>
      <c r="AA143" s="1"/>
      <c r="AB143" s="74">
        <f>CHOOSE(act_scn_idx,BC281,CD281,DE281)</f>
        <v>0</v>
      </c>
      <c r="AC143" s="74">
        <f>IF(act_horizon_n&lt;24,"",CHOOSE(act_scn_idx,BD281,CE281,DF281))</f>
        <v>0</v>
      </c>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c r="CS143" s="2"/>
      <c r="CT143" s="2"/>
      <c r="CU143" s="2"/>
      <c r="CV143" s="2"/>
      <c r="CW143" s="2"/>
      <c r="CX143" s="2"/>
      <c r="CY143" s="2"/>
      <c r="CZ143" s="2"/>
      <c r="DA143" s="2"/>
      <c r="DB143" s="2"/>
      <c r="DC143" s="2"/>
      <c r="DD143" s="2"/>
      <c r="DE143" s="2"/>
      <c r="DF143" s="2"/>
      <c r="DG143"/>
      <c r="DH143"/>
    </row>
    <row r="144" spans="1:112" ht="20" customHeight="1" x14ac:dyDescent="0.2">
      <c r="A144" s="1"/>
      <c r="B144" s="30" t="s">
        <v>82</v>
      </c>
      <c r="C144" s="75">
        <f>IF(1&gt;act_horizon_n,"",CHOOSE(act_scn_idx,IFERROR((inp_cov_de_max-AE282)/inp_cov_de_max,0),IFERROR((inp_cov_de_max-BF282)/inp_cov_de_max,0),IFERROR((inp_cov_de_max-CG282)/inp_cov_de_max,0)))</f>
        <v>0</v>
      </c>
      <c r="D144" s="75">
        <f>IF(2&gt;act_horizon_n,"",CHOOSE(act_scn_idx,IFERROR((inp_cov_de_max-AF282)/inp_cov_de_max,0),IFERROR((inp_cov_de_max-BG282)/inp_cov_de_max,0),IFERROR((inp_cov_de_max-CH282)/inp_cov_de_max,0)))</f>
        <v>0</v>
      </c>
      <c r="E144" s="75">
        <f>IF(3&gt;act_horizon_n,"",CHOOSE(act_scn_idx,IFERROR((inp_cov_de_max-AG282)/inp_cov_de_max,0),IFERROR((inp_cov_de_max-BH282)/inp_cov_de_max,0),IFERROR((inp_cov_de_max-CI282)/inp_cov_de_max,0)))</f>
        <v>0</v>
      </c>
      <c r="F144" s="75">
        <f>IF(4&gt;act_horizon_n,"",CHOOSE(act_scn_idx,IFERROR((inp_cov_de_max-AH282)/inp_cov_de_max,0),IFERROR((inp_cov_de_max-BI282)/inp_cov_de_max,0),IFERROR((inp_cov_de_max-CJ282)/inp_cov_de_max,0)))</f>
        <v>0</v>
      </c>
      <c r="G144" s="75">
        <f>IF(5&gt;act_horizon_n,"",CHOOSE(act_scn_idx,IFERROR((inp_cov_de_max-AI282)/inp_cov_de_max,0),IFERROR((inp_cov_de_max-BJ282)/inp_cov_de_max,0),IFERROR((inp_cov_de_max-CK282)/inp_cov_de_max,0)))</f>
        <v>0</v>
      </c>
      <c r="H144" s="75">
        <f>IF(6&gt;act_horizon_n,"",CHOOSE(act_scn_idx,IFERROR((inp_cov_de_max-AJ282)/inp_cov_de_max,0),IFERROR((inp_cov_de_max-BK282)/inp_cov_de_max,0),IFERROR((inp_cov_de_max-CL282)/inp_cov_de_max,0)))</f>
        <v>0</v>
      </c>
      <c r="I144" s="75">
        <f>IF(7&gt;act_horizon_n,"",CHOOSE(act_scn_idx,IFERROR((inp_cov_de_max-AK282)/inp_cov_de_max,0),IFERROR((inp_cov_de_max-BL282)/inp_cov_de_max,0),IFERROR((inp_cov_de_max-CM282)/inp_cov_de_max,0)))</f>
        <v>0</v>
      </c>
      <c r="J144" s="75">
        <f>IF(8&gt;act_horizon_n,"",CHOOSE(act_scn_idx,IFERROR((inp_cov_de_max-AL282)/inp_cov_de_max,0),IFERROR((inp_cov_de_max-BM282)/inp_cov_de_max,0),IFERROR((inp_cov_de_max-CN282)/inp_cov_de_max,0)))</f>
        <v>0</v>
      </c>
      <c r="K144" s="75">
        <f>IF(9&gt;act_horizon_n,"",CHOOSE(act_scn_idx,IFERROR((inp_cov_de_max-AM282)/inp_cov_de_max,0),IFERROR((inp_cov_de_max-BN282)/inp_cov_de_max,0),IFERROR((inp_cov_de_max-CO282)/inp_cov_de_max,0)))</f>
        <v>0</v>
      </c>
      <c r="L144" s="75">
        <f>IF(10&gt;act_horizon_n,"",CHOOSE(act_scn_idx,IFERROR((inp_cov_de_max-AN282)/inp_cov_de_max,0),IFERROR((inp_cov_de_max-BO282)/inp_cov_de_max,0),IFERROR((inp_cov_de_max-CP282)/inp_cov_de_max,0)))</f>
        <v>0</v>
      </c>
      <c r="M144" s="75">
        <f>IF(11&gt;act_horizon_n,"",CHOOSE(act_scn_idx,IFERROR((inp_cov_de_max-AO282)/inp_cov_de_max,0),IFERROR((inp_cov_de_max-BP282)/inp_cov_de_max,0),IFERROR((inp_cov_de_max-CQ282)/inp_cov_de_max,0)))</f>
        <v>0</v>
      </c>
      <c r="N144" s="75">
        <f>IF(12&gt;act_horizon_n,"",CHOOSE(act_scn_idx,IFERROR((inp_cov_de_max-AP282)/inp_cov_de_max,0),IFERROR((inp_cov_de_max-BQ282)/inp_cov_de_max,0),IFERROR((inp_cov_de_max-CR282)/inp_cov_de_max,0)))</f>
        <v>0</v>
      </c>
      <c r="O144" s="75">
        <f>IF(13&gt;act_horizon_n,"",CHOOSE(act_scn_idx,IFERROR((inp_cov_de_max-AQ282)/inp_cov_de_max,0),IFERROR((inp_cov_de_max-BR282)/inp_cov_de_max,0),IFERROR((inp_cov_de_max-CS282)/inp_cov_de_max,0)))</f>
        <v>0</v>
      </c>
      <c r="P144" s="75">
        <f>IF(14&gt;act_horizon_n,"",CHOOSE(act_scn_idx,IFERROR((inp_cov_de_max-AR282)/inp_cov_de_max,0),IFERROR((inp_cov_de_max-BS282)/inp_cov_de_max,0),IFERROR((inp_cov_de_max-CT282)/inp_cov_de_max,0)))</f>
        <v>0</v>
      </c>
      <c r="Q144" s="75">
        <f>IF(15&gt;act_horizon_n,"",CHOOSE(act_scn_idx,IFERROR((inp_cov_de_max-AS282)/inp_cov_de_max,0),IFERROR((inp_cov_de_max-BT282)/inp_cov_de_max,0),IFERROR((inp_cov_de_max-CU282)/inp_cov_de_max,0)))</f>
        <v>0</v>
      </c>
      <c r="R144" s="75">
        <f>IF(16&gt;act_horizon_n,"",CHOOSE(act_scn_idx,IFERROR((inp_cov_de_max-AT282)/inp_cov_de_max,0),IFERROR((inp_cov_de_max-BU282)/inp_cov_de_max,0),IFERROR((inp_cov_de_max-CV282)/inp_cov_de_max,0)))</f>
        <v>0</v>
      </c>
      <c r="S144" s="75">
        <f>IF(17&gt;act_horizon_n,"",CHOOSE(act_scn_idx,IFERROR((inp_cov_de_max-AU282)/inp_cov_de_max,0),IFERROR((inp_cov_de_max-BV282)/inp_cov_de_max,0),IFERROR((inp_cov_de_max-CW282)/inp_cov_de_max,0)))</f>
        <v>0</v>
      </c>
      <c r="T144" s="75">
        <f>IF(18&gt;act_horizon_n,"",CHOOSE(act_scn_idx,IFERROR((inp_cov_de_max-AV282)/inp_cov_de_max,0),IFERROR((inp_cov_de_max-BW282)/inp_cov_de_max,0),IFERROR((inp_cov_de_max-CX282)/inp_cov_de_max,0)))</f>
        <v>0</v>
      </c>
      <c r="U144" s="75">
        <f>IF(19&gt;act_horizon_n,"",CHOOSE(act_scn_idx,IFERROR((inp_cov_de_max-AW282)/inp_cov_de_max,0),IFERROR((inp_cov_de_max-BX282)/inp_cov_de_max,0),IFERROR((inp_cov_de_max-CY282)/inp_cov_de_max,0)))</f>
        <v>0</v>
      </c>
      <c r="V144" s="75">
        <f>IF(20&gt;act_horizon_n,"",CHOOSE(act_scn_idx,IFERROR((inp_cov_de_max-AX282)/inp_cov_de_max,0),IFERROR((inp_cov_de_max-BY282)/inp_cov_de_max,0),IFERROR((inp_cov_de_max-CZ282)/inp_cov_de_max,0)))</f>
        <v>0</v>
      </c>
      <c r="W144" s="75">
        <f>IF(21&gt;act_horizon_n,"",CHOOSE(act_scn_idx,IFERROR((inp_cov_de_max-AY282)/inp_cov_de_max,0),IFERROR((inp_cov_de_max-BZ282)/inp_cov_de_max,0),IFERROR((inp_cov_de_max-DA282)/inp_cov_de_max,0)))</f>
        <v>0</v>
      </c>
      <c r="X144" s="75">
        <f>IF(22&gt;act_horizon_n,"",CHOOSE(act_scn_idx,IFERROR((inp_cov_de_max-AZ282)/inp_cov_de_max,0),IFERROR((inp_cov_de_max-CA282)/inp_cov_de_max,0),IFERROR((inp_cov_de_max-DB282)/inp_cov_de_max,0)))</f>
        <v>0</v>
      </c>
      <c r="Y144" s="75">
        <f>IF(23&gt;act_horizon_n,"",CHOOSE(act_scn_idx,IFERROR((inp_cov_de_max-BA282)/inp_cov_de_max,0),IFERROR((inp_cov_de_max-CB282)/inp_cov_de_max,0),IFERROR((inp_cov_de_max-DC282)/inp_cov_de_max,0)))</f>
        <v>0</v>
      </c>
      <c r="Z144" s="75">
        <f>IF(24&gt;act_horizon_n,"",CHOOSE(act_scn_idx,IFERROR((inp_cov_de_max-BB282)/inp_cov_de_max,0),IFERROR((inp_cov_de_max-CC282)/inp_cov_de_max,0),IFERROR((inp_cov_de_max-DD282)/inp_cov_de_max,0)))</f>
        <v>0</v>
      </c>
      <c r="AA144" s="1"/>
      <c r="AB144" s="76">
        <f>CHOOSE(act_scn_idx,IFERROR((inp_cov_de_max-INDEX(AE282:BB282,act_horizon_n))/inp_cov_de_max,0),IFERROR((inp_cov_de_max-INDEX(BF282:CC282,act_horizon_n))/inp_cov_de_max,0),IFERROR((inp_cov_de_max-INDEX(CG282:DD282,act_horizon_n))/inp_cov_de_max,0))</f>
        <v>0</v>
      </c>
      <c r="AC144" s="76" t="str">
        <f>IF(act_horizon_n&lt;24,"","")</f>
        <v/>
      </c>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c r="CS144" s="2"/>
      <c r="CT144" s="2"/>
      <c r="CU144" s="2"/>
      <c r="CV144" s="2"/>
      <c r="CW144" s="2"/>
      <c r="CX144" s="2"/>
      <c r="CY144" s="2"/>
      <c r="CZ144" s="2"/>
      <c r="DA144" s="2"/>
      <c r="DB144" s="2"/>
      <c r="DC144" s="2"/>
      <c r="DD144" s="2"/>
      <c r="DE144" s="2"/>
      <c r="DF144" s="2"/>
      <c r="DG144"/>
      <c r="DH144"/>
    </row>
    <row r="145" spans="1:112" x14ac:dyDescent="0.2">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c r="CS145" s="2"/>
      <c r="CT145" s="2"/>
      <c r="CU145" s="2"/>
      <c r="CV145" s="2"/>
      <c r="CW145" s="2"/>
      <c r="CX145" s="2"/>
      <c r="CY145" s="2"/>
      <c r="CZ145" s="2"/>
      <c r="DA145" s="2"/>
      <c r="DB145" s="2"/>
      <c r="DC145" s="2"/>
      <c r="DD145" s="2"/>
      <c r="DE145" s="2"/>
      <c r="DF145" s="2"/>
      <c r="DG145"/>
      <c r="DH145"/>
    </row>
    <row r="146" spans="1:112" ht="22" customHeight="1" x14ac:dyDescent="0.2">
      <c r="A146" s="1"/>
      <c r="B146" s="57" t="s">
        <v>83</v>
      </c>
      <c r="C146" s="20"/>
      <c r="D146" s="20"/>
      <c r="E146" s="20"/>
      <c r="F146" s="20"/>
      <c r="G146" s="20"/>
      <c r="H146" s="20"/>
      <c r="I146" s="20"/>
      <c r="J146" s="20"/>
      <c r="K146" s="20"/>
      <c r="L146" s="20"/>
      <c r="M146" s="20"/>
      <c r="N146" s="20"/>
      <c r="O146" s="20"/>
      <c r="P146" s="20"/>
      <c r="Q146" s="20"/>
      <c r="R146" s="20"/>
      <c r="S146" s="20"/>
      <c r="T146" s="20"/>
      <c r="U146" s="20"/>
      <c r="V146" s="20"/>
      <c r="W146" s="20"/>
      <c r="X146" s="20"/>
      <c r="Y146" s="20"/>
      <c r="Z146" s="20"/>
      <c r="AA146" s="20"/>
      <c r="AB146" s="20"/>
      <c r="AC146" s="21" t="s">
        <v>413</v>
      </c>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c r="CS146" s="2"/>
      <c r="CT146" s="2"/>
      <c r="CU146" s="2"/>
      <c r="CV146" s="2"/>
      <c r="CW146" s="2"/>
      <c r="CX146" s="2"/>
      <c r="CY146" s="2"/>
      <c r="CZ146" s="2"/>
      <c r="DA146" s="2"/>
      <c r="DB146" s="2"/>
      <c r="DC146" s="2"/>
      <c r="DD146" s="2"/>
      <c r="DE146" s="2"/>
      <c r="DF146" s="2"/>
      <c r="DG146"/>
      <c r="DH146"/>
    </row>
    <row r="147" spans="1:112" ht="22" customHeight="1" x14ac:dyDescent="0.2">
      <c r="A147" s="1"/>
      <c r="B147" s="27" t="s">
        <v>33</v>
      </c>
      <c r="C147" s="115" t="s">
        <v>84</v>
      </c>
      <c r="D147" s="112"/>
      <c r="E147" s="112"/>
      <c r="F147" s="112"/>
      <c r="G147" s="112"/>
      <c r="H147" s="112"/>
      <c r="I147" s="115" t="s">
        <v>412</v>
      </c>
      <c r="J147" s="112"/>
      <c r="K147" s="112"/>
      <c r="L147" s="112"/>
      <c r="M147" s="112"/>
      <c r="N147" s="112"/>
      <c r="O147" s="115" t="s">
        <v>85</v>
      </c>
      <c r="P147" s="112"/>
      <c r="Q147" s="112"/>
      <c r="R147" s="112"/>
      <c r="S147" s="112"/>
      <c r="T147" s="112"/>
      <c r="U147" s="112"/>
      <c r="V147" s="112"/>
      <c r="W147" s="112"/>
      <c r="X147" s="112"/>
      <c r="Y147" s="112"/>
      <c r="Z147" s="112"/>
      <c r="AA147" s="1"/>
      <c r="AB147" s="1"/>
      <c r="AC147" s="1"/>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c r="CS147" s="2"/>
      <c r="CT147" s="2"/>
      <c r="CU147" s="2"/>
      <c r="CV147" s="2"/>
      <c r="CW147" s="2"/>
      <c r="CX147" s="2"/>
      <c r="CY147" s="2"/>
      <c r="CZ147" s="2"/>
      <c r="DA147" s="2"/>
      <c r="DB147" s="2"/>
      <c r="DC147" s="2"/>
      <c r="DD147" s="2"/>
      <c r="DE147" s="2"/>
      <c r="DF147" s="2"/>
      <c r="DG147"/>
      <c r="DH147"/>
    </row>
    <row r="148" spans="1:112" ht="22" customHeight="1" x14ac:dyDescent="0.2">
      <c r="A148" s="1"/>
      <c r="B148" s="22" t="s">
        <v>86</v>
      </c>
      <c r="C148" s="124">
        <f>inp_ar_days</f>
        <v>0</v>
      </c>
      <c r="D148" s="104"/>
      <c r="E148" s="104"/>
      <c r="F148" s="104"/>
      <c r="G148" s="104"/>
      <c r="H148" s="104"/>
      <c r="I148" s="130">
        <v>50</v>
      </c>
      <c r="J148" s="104"/>
      <c r="K148" s="104"/>
      <c r="L148" s="104"/>
      <c r="M148" s="104"/>
      <c r="N148" s="104"/>
      <c r="O148" s="130">
        <f>IFERROR(C148-I148,0)</f>
        <v>-50</v>
      </c>
      <c r="P148" s="104"/>
      <c r="Q148" s="104"/>
      <c r="R148" s="104"/>
      <c r="S148" s="104"/>
      <c r="T148" s="104"/>
      <c r="U148" s="104"/>
      <c r="V148" s="104"/>
      <c r="W148" s="104"/>
      <c r="X148" s="104"/>
      <c r="Y148" s="104"/>
      <c r="Z148" s="104"/>
      <c r="AA148" s="1"/>
      <c r="AB148" s="1"/>
      <c r="AC148" s="1"/>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c r="CS148" s="2"/>
      <c r="CT148" s="2"/>
      <c r="CU148" s="2"/>
      <c r="CV148" s="2"/>
      <c r="CW148" s="2"/>
      <c r="CX148" s="2"/>
      <c r="CY148" s="2"/>
      <c r="CZ148" s="2"/>
      <c r="DA148" s="2"/>
      <c r="DB148" s="2"/>
      <c r="DC148" s="2"/>
      <c r="DD148" s="2"/>
      <c r="DE148" s="2"/>
      <c r="DF148" s="2"/>
      <c r="DG148"/>
      <c r="DH148"/>
    </row>
    <row r="149" spans="1:112" ht="22" customHeight="1" x14ac:dyDescent="0.2">
      <c r="A149" s="1"/>
      <c r="B149" s="22" t="s">
        <v>87</v>
      </c>
      <c r="C149" s="124">
        <f>inp_ap_days</f>
        <v>0</v>
      </c>
      <c r="D149" s="104"/>
      <c r="E149" s="104"/>
      <c r="F149" s="104"/>
      <c r="G149" s="104"/>
      <c r="H149" s="104"/>
      <c r="I149" s="130">
        <v>30</v>
      </c>
      <c r="J149" s="104"/>
      <c r="K149" s="104"/>
      <c r="L149" s="104"/>
      <c r="M149" s="104"/>
      <c r="N149" s="104"/>
      <c r="O149" s="130">
        <f>IFERROR(C149-I149,0)</f>
        <v>-30</v>
      </c>
      <c r="P149" s="104"/>
      <c r="Q149" s="104"/>
      <c r="R149" s="104"/>
      <c r="S149" s="104"/>
      <c r="T149" s="104"/>
      <c r="U149" s="104"/>
      <c r="V149" s="104"/>
      <c r="W149" s="104"/>
      <c r="X149" s="104"/>
      <c r="Y149" s="104"/>
      <c r="Z149" s="104"/>
      <c r="AA149" s="1"/>
      <c r="AB149" s="1"/>
      <c r="AC149" s="1"/>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c r="CS149" s="2"/>
      <c r="CT149" s="2"/>
      <c r="CU149" s="2"/>
      <c r="CV149" s="2"/>
      <c r="CW149" s="2"/>
      <c r="CX149" s="2"/>
      <c r="CY149" s="2"/>
      <c r="CZ149" s="2"/>
      <c r="DA149" s="2"/>
      <c r="DB149" s="2"/>
      <c r="DC149" s="2"/>
      <c r="DD149" s="2"/>
      <c r="DE149" s="2"/>
      <c r="DF149" s="2"/>
      <c r="DG149"/>
      <c r="DH149"/>
    </row>
    <row r="150" spans="1:112" ht="22" customHeight="1" x14ac:dyDescent="0.2">
      <c r="A150" s="1"/>
      <c r="B150" s="22" t="s">
        <v>88</v>
      </c>
      <c r="C150" s="134">
        <f>IFERROR((CHOOSE(act_scn_idx,INDEX(AE250:BB250,act_horizon_n)-INDEX(AE257:BB257,act_horizon_n),INDEX(BF250:CC250,act_horizon_n)-INDEX(BF257:CC257,act_horizon_n),INDEX(CG250:DD250,act_horizon_n)-INDEX(CG257:DD257,act_horizon_n)))/CHOOSE(act_scn_idx,BC190,CD190,DE190),0)</f>
        <v>0</v>
      </c>
      <c r="D150" s="104"/>
      <c r="E150" s="104"/>
      <c r="F150" s="104"/>
      <c r="G150" s="104"/>
      <c r="H150" s="104"/>
      <c r="I150" s="127">
        <v>0.12</v>
      </c>
      <c r="J150" s="104"/>
      <c r="K150" s="104"/>
      <c r="L150" s="104"/>
      <c r="M150" s="104"/>
      <c r="N150" s="104"/>
      <c r="O150" s="127">
        <f>IFERROR(C150-I150,0)</f>
        <v>-0.12</v>
      </c>
      <c r="P150" s="104"/>
      <c r="Q150" s="104"/>
      <c r="R150" s="104"/>
      <c r="S150" s="104"/>
      <c r="T150" s="104"/>
      <c r="U150" s="104"/>
      <c r="V150" s="104"/>
      <c r="W150" s="104"/>
      <c r="X150" s="104"/>
      <c r="Y150" s="104"/>
      <c r="Z150" s="104"/>
      <c r="AA150" s="1"/>
      <c r="AB150" s="1"/>
      <c r="AC150" s="1"/>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c r="CS150" s="2"/>
      <c r="CT150" s="2"/>
      <c r="CU150" s="2"/>
      <c r="CV150" s="2"/>
      <c r="CW150" s="2"/>
      <c r="CX150" s="2"/>
      <c r="CY150" s="2"/>
      <c r="CZ150" s="2"/>
      <c r="DA150" s="2"/>
      <c r="DB150" s="2"/>
      <c r="DC150" s="2"/>
      <c r="DD150" s="2"/>
      <c r="DE150" s="2"/>
      <c r="DF150" s="2"/>
      <c r="DG150"/>
      <c r="DH150"/>
    </row>
    <row r="151" spans="1:112" ht="22" customHeight="1" x14ac:dyDescent="0.2">
      <c r="A151" s="1"/>
      <c r="B151" s="22" t="s">
        <v>402</v>
      </c>
      <c r="C151" s="133">
        <f>CHOOSE(act_scn_idx,INDEX(AE282:BB282,act_horizon_n),INDEX(BF282:CC282,act_horizon_n),INDEX(CG282:DD282,act_horizon_n))</f>
        <v>0</v>
      </c>
      <c r="D151" s="104"/>
      <c r="E151" s="104"/>
      <c r="F151" s="104"/>
      <c r="G151" s="104"/>
      <c r="H151" s="104"/>
      <c r="I151" s="122">
        <v>1.5</v>
      </c>
      <c r="J151" s="104"/>
      <c r="K151" s="104"/>
      <c r="L151" s="104"/>
      <c r="M151" s="104"/>
      <c r="N151" s="104"/>
      <c r="O151" s="122">
        <f>IFERROR(C151-I151,0)</f>
        <v>-1.5</v>
      </c>
      <c r="P151" s="104"/>
      <c r="Q151" s="104"/>
      <c r="R151" s="104"/>
      <c r="S151" s="104"/>
      <c r="T151" s="104"/>
      <c r="U151" s="104"/>
      <c r="V151" s="104"/>
      <c r="W151" s="104"/>
      <c r="X151" s="104"/>
      <c r="Y151" s="104"/>
      <c r="Z151" s="104"/>
      <c r="AA151" s="1"/>
      <c r="AB151" s="1"/>
      <c r="AC151" s="1"/>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c r="CS151" s="2"/>
      <c r="CT151" s="2"/>
      <c r="CU151" s="2"/>
      <c r="CV151" s="2"/>
      <c r="CW151" s="2"/>
      <c r="CX151" s="2"/>
      <c r="CY151" s="2"/>
      <c r="CZ151" s="2"/>
      <c r="DA151" s="2"/>
      <c r="DB151" s="2"/>
      <c r="DC151" s="2"/>
      <c r="DD151" s="2"/>
      <c r="DE151" s="2"/>
      <c r="DF151" s="2"/>
      <c r="DG151"/>
      <c r="DH151"/>
    </row>
    <row r="152" spans="1:112" x14ac:dyDescent="0.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c r="CS152" s="2"/>
      <c r="CT152" s="2"/>
      <c r="CU152" s="2"/>
      <c r="CV152" s="2"/>
      <c r="CW152" s="2"/>
      <c r="CX152" s="2"/>
      <c r="CY152" s="2"/>
      <c r="CZ152" s="2"/>
      <c r="DA152" s="2"/>
      <c r="DB152" s="2"/>
      <c r="DC152" s="2"/>
      <c r="DD152" s="2"/>
      <c r="DE152" s="2"/>
      <c r="DF152" s="2"/>
      <c r="DG152"/>
      <c r="DH152"/>
    </row>
    <row r="153" spans="1:112" ht="22" customHeight="1" x14ac:dyDescent="0.2">
      <c r="A153" s="1"/>
      <c r="B153" s="57" t="s">
        <v>89</v>
      </c>
      <c r="C153" s="20"/>
      <c r="D153" s="20"/>
      <c r="E153" s="20"/>
      <c r="F153" s="20"/>
      <c r="G153" s="20"/>
      <c r="H153" s="20"/>
      <c r="I153" s="20"/>
      <c r="J153" s="20"/>
      <c r="K153" s="20"/>
      <c r="L153" s="20"/>
      <c r="M153" s="20"/>
      <c r="N153" s="20"/>
      <c r="O153" s="20"/>
      <c r="P153" s="20"/>
      <c r="Q153" s="20"/>
      <c r="R153" s="20"/>
      <c r="S153" s="20"/>
      <c r="T153" s="20"/>
      <c r="U153" s="20"/>
      <c r="V153" s="20"/>
      <c r="W153" s="20"/>
      <c r="X153" s="20"/>
      <c r="Y153" s="20"/>
      <c r="Z153" s="20"/>
      <c r="AA153" s="20"/>
      <c r="AB153" s="20"/>
      <c r="AC153" s="21" t="s">
        <v>90</v>
      </c>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c r="CS153" s="2"/>
      <c r="CT153" s="2"/>
      <c r="CU153" s="2"/>
      <c r="CV153" s="2"/>
      <c r="CW153" s="2"/>
      <c r="CX153" s="2"/>
      <c r="CY153" s="2"/>
      <c r="CZ153" s="2"/>
      <c r="DA153" s="2"/>
      <c r="DB153" s="2"/>
      <c r="DC153" s="2"/>
      <c r="DD153" s="2"/>
      <c r="DE153" s="2"/>
      <c r="DF153" s="2"/>
      <c r="DG153"/>
      <c r="DH153"/>
    </row>
    <row r="154" spans="1:112" ht="22" customHeight="1" x14ac:dyDescent="0.2">
      <c r="A154" s="1"/>
      <c r="B154" s="27" t="s">
        <v>91</v>
      </c>
      <c r="C154" s="137" t="s">
        <v>92</v>
      </c>
      <c r="D154" s="112"/>
      <c r="E154" s="112"/>
      <c r="F154" s="112"/>
      <c r="G154" s="112"/>
      <c r="H154" s="112"/>
      <c r="I154" s="112"/>
      <c r="J154" s="112"/>
      <c r="K154" s="112"/>
      <c r="L154" s="112"/>
      <c r="M154" s="112"/>
      <c r="N154" s="112"/>
      <c r="O154" s="112"/>
      <c r="P154" s="112"/>
      <c r="Q154" s="112"/>
      <c r="R154" s="112"/>
      <c r="S154" s="112"/>
      <c r="T154" s="112"/>
      <c r="U154" s="112"/>
      <c r="V154" s="112"/>
      <c r="W154" s="115" t="s">
        <v>93</v>
      </c>
      <c r="X154" s="112"/>
      <c r="Y154" s="112"/>
      <c r="Z154" s="112"/>
      <c r="AA154" s="1"/>
      <c r="AB154" s="1"/>
      <c r="AC154" s="1"/>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c r="CS154" s="2"/>
      <c r="CT154" s="2"/>
      <c r="CU154" s="2"/>
      <c r="CV154" s="2"/>
      <c r="CW154" s="2"/>
      <c r="CX154" s="2"/>
      <c r="CY154" s="2"/>
      <c r="CZ154" s="2"/>
      <c r="DA154" s="2"/>
      <c r="DB154" s="2"/>
      <c r="DC154" s="2"/>
      <c r="DD154" s="2"/>
      <c r="DE154" s="2"/>
      <c r="DF154" s="2"/>
      <c r="DG154"/>
      <c r="DH154"/>
    </row>
    <row r="155" spans="1:112" ht="20" customHeight="1" x14ac:dyDescent="0.2">
      <c r="A155" s="1"/>
      <c r="B155" s="77" t="s">
        <v>94</v>
      </c>
      <c r="C155" s="125">
        <f>MAX(MAX(MAX(AE272:BB272),-MIN(AE272:BB272)),MAX(MAX(BF272:CC272),-MIN(BF272:CC272)),MAX(MAX(CG272:DD272),-MIN(CG272:DD272)))</f>
        <v>0</v>
      </c>
      <c r="D155" s="104"/>
      <c r="E155" s="104"/>
      <c r="F155" s="104"/>
      <c r="G155" s="104"/>
      <c r="H155" s="104"/>
      <c r="I155" s="104"/>
      <c r="J155" s="104"/>
      <c r="K155" s="104"/>
      <c r="L155" s="104"/>
      <c r="M155" s="104"/>
      <c r="N155" s="104"/>
      <c r="O155" s="104"/>
      <c r="P155" s="104"/>
      <c r="Q155" s="104"/>
      <c r="R155" s="104"/>
      <c r="S155" s="104"/>
      <c r="T155" s="104"/>
      <c r="U155" s="104"/>
      <c r="V155" s="104"/>
      <c r="W155" s="123" t="str">
        <f t="shared" ref="W155:W163" si="79">IF(ROUND(C155,2)=0,"PASS","FAIL")</f>
        <v>PASS</v>
      </c>
      <c r="X155" s="104"/>
      <c r="Y155" s="104"/>
      <c r="Z155" s="104"/>
      <c r="AA155" s="1"/>
      <c r="AB155" s="1"/>
      <c r="AC155" s="1"/>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c r="CS155" s="2"/>
      <c r="CT155" s="2"/>
      <c r="CU155" s="2"/>
      <c r="CV155" s="2"/>
      <c r="CW155" s="2"/>
      <c r="CX155" s="2"/>
      <c r="CY155" s="2"/>
      <c r="CZ155" s="2"/>
      <c r="DA155" s="2"/>
      <c r="DB155" s="2"/>
      <c r="DC155" s="2"/>
      <c r="DD155" s="2"/>
      <c r="DE155" s="2"/>
      <c r="DF155" s="2"/>
      <c r="DG155"/>
      <c r="DH155"/>
    </row>
    <row r="156" spans="1:112" ht="20" customHeight="1" x14ac:dyDescent="0.2">
      <c r="A156" s="1"/>
      <c r="B156" s="77" t="s">
        <v>95</v>
      </c>
      <c r="C156" s="125">
        <f>MAX(MAX(MAX(AE271:BB271),-MIN(AE271:BB271)),MAX(MAX(BF271:CC271),-MIN(BF271:CC271)),MAX(MAX(CG271:DD271),-MIN(CG271:DD271)))</f>
        <v>0</v>
      </c>
      <c r="D156" s="104"/>
      <c r="E156" s="104"/>
      <c r="F156" s="104"/>
      <c r="G156" s="104"/>
      <c r="H156" s="104"/>
      <c r="I156" s="104"/>
      <c r="J156" s="104"/>
      <c r="K156" s="104"/>
      <c r="L156" s="104"/>
      <c r="M156" s="104"/>
      <c r="N156" s="104"/>
      <c r="O156" s="104"/>
      <c r="P156" s="104"/>
      <c r="Q156" s="104"/>
      <c r="R156" s="104"/>
      <c r="S156" s="104"/>
      <c r="T156" s="104"/>
      <c r="U156" s="104"/>
      <c r="V156" s="104"/>
      <c r="W156" s="123" t="str">
        <f t="shared" si="79"/>
        <v>PASS</v>
      </c>
      <c r="X156" s="104"/>
      <c r="Y156" s="104"/>
      <c r="Z156" s="104"/>
      <c r="AA156" s="1"/>
      <c r="AB156" s="1"/>
      <c r="AC156" s="1"/>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c r="CS156" s="2"/>
      <c r="CT156" s="2"/>
      <c r="CU156" s="2"/>
      <c r="CV156" s="2"/>
      <c r="CW156" s="2"/>
      <c r="CX156" s="2"/>
      <c r="CY156" s="2"/>
      <c r="CZ156" s="2"/>
      <c r="DA156" s="2"/>
      <c r="DB156" s="2"/>
      <c r="DC156" s="2"/>
      <c r="DD156" s="2"/>
      <c r="DE156" s="2"/>
      <c r="DF156" s="2"/>
      <c r="DG156"/>
      <c r="DH156"/>
    </row>
    <row r="157" spans="1:112" ht="20" customHeight="1" x14ac:dyDescent="0.2">
      <c r="A157" s="1"/>
      <c r="B157" s="77" t="s">
        <v>96</v>
      </c>
      <c r="C157" s="125">
        <f>MAX(MAX(MAX(AE273:BB273),-MIN(AE273:BB273)),MAX(MAX(BF273:CC273),-MIN(BF273:CC273)),MAX(MAX(CG273:DD273),-MIN(CG273:DD273)))</f>
        <v>0</v>
      </c>
      <c r="D157" s="104"/>
      <c r="E157" s="104"/>
      <c r="F157" s="104"/>
      <c r="G157" s="104"/>
      <c r="H157" s="104"/>
      <c r="I157" s="104"/>
      <c r="J157" s="104"/>
      <c r="K157" s="104"/>
      <c r="L157" s="104"/>
      <c r="M157" s="104"/>
      <c r="N157" s="104"/>
      <c r="O157" s="104"/>
      <c r="P157" s="104"/>
      <c r="Q157" s="104"/>
      <c r="R157" s="104"/>
      <c r="S157" s="104"/>
      <c r="T157" s="104"/>
      <c r="U157" s="104"/>
      <c r="V157" s="104"/>
      <c r="W157" s="123" t="str">
        <f t="shared" si="79"/>
        <v>PASS</v>
      </c>
      <c r="X157" s="104"/>
      <c r="Y157" s="104"/>
      <c r="Z157" s="104"/>
      <c r="AA157" s="1"/>
      <c r="AB157" s="1"/>
      <c r="AC157" s="1"/>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c r="CS157" s="2"/>
      <c r="CT157" s="2"/>
      <c r="CU157" s="2"/>
      <c r="CV157" s="2"/>
      <c r="CW157" s="2"/>
      <c r="CX157" s="2"/>
      <c r="CY157" s="2"/>
      <c r="CZ157" s="2"/>
      <c r="DA157" s="2"/>
      <c r="DB157" s="2"/>
      <c r="DC157" s="2"/>
      <c r="DD157" s="2"/>
      <c r="DE157" s="2"/>
      <c r="DF157" s="2"/>
      <c r="DG157"/>
      <c r="DH157"/>
    </row>
    <row r="158" spans="1:112" ht="20" customHeight="1" x14ac:dyDescent="0.2">
      <c r="A158" s="1"/>
      <c r="B158" s="77" t="s">
        <v>97</v>
      </c>
      <c r="C158" s="125">
        <f>MAX(MAX(MAX(AE274:BB274),-MIN(AE274:BB274)),MAX(MAX(BF274:CC274),-MIN(BF274:CC274)),MAX(MAX(CG274:DD274),-MIN(CG274:DD274)))</f>
        <v>0</v>
      </c>
      <c r="D158" s="104"/>
      <c r="E158" s="104"/>
      <c r="F158" s="104"/>
      <c r="G158" s="104"/>
      <c r="H158" s="104"/>
      <c r="I158" s="104"/>
      <c r="J158" s="104"/>
      <c r="K158" s="104"/>
      <c r="L158" s="104"/>
      <c r="M158" s="104"/>
      <c r="N158" s="104"/>
      <c r="O158" s="104"/>
      <c r="P158" s="104"/>
      <c r="Q158" s="104"/>
      <c r="R158" s="104"/>
      <c r="S158" s="104"/>
      <c r="T158" s="104"/>
      <c r="U158" s="104"/>
      <c r="V158" s="104"/>
      <c r="W158" s="123" t="str">
        <f t="shared" si="79"/>
        <v>PASS</v>
      </c>
      <c r="X158" s="104"/>
      <c r="Y158" s="104"/>
      <c r="Z158" s="104"/>
      <c r="AA158" s="1"/>
      <c r="AB158" s="1"/>
      <c r="AC158" s="1"/>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c r="CS158" s="2"/>
      <c r="CT158" s="2"/>
      <c r="CU158" s="2"/>
      <c r="CV158" s="2"/>
      <c r="CW158" s="2"/>
      <c r="CX158" s="2"/>
      <c r="CY158" s="2"/>
      <c r="CZ158" s="2"/>
      <c r="DA158" s="2"/>
      <c r="DB158" s="2"/>
      <c r="DC158" s="2"/>
      <c r="DD158" s="2"/>
      <c r="DE158" s="2"/>
      <c r="DF158" s="2"/>
      <c r="DG158"/>
      <c r="DH158"/>
    </row>
    <row r="159" spans="1:112" ht="20" customHeight="1" x14ac:dyDescent="0.2">
      <c r="A159" s="1"/>
      <c r="B159" s="77" t="s">
        <v>98</v>
      </c>
      <c r="C159" s="125">
        <f>MAX(MAX(MAX(AE275:BB275),-MIN(AE275:BB275)),MAX(MAX(BF275:CC275),-MIN(BF275:CC275)),MAX(MAX(CG275:DD275),-MIN(CG275:DD275)))</f>
        <v>0</v>
      </c>
      <c r="D159" s="104"/>
      <c r="E159" s="104"/>
      <c r="F159" s="104"/>
      <c r="G159" s="104"/>
      <c r="H159" s="104"/>
      <c r="I159" s="104"/>
      <c r="J159" s="104"/>
      <c r="K159" s="104"/>
      <c r="L159" s="104"/>
      <c r="M159" s="104"/>
      <c r="N159" s="104"/>
      <c r="O159" s="104"/>
      <c r="P159" s="104"/>
      <c r="Q159" s="104"/>
      <c r="R159" s="104"/>
      <c r="S159" s="104"/>
      <c r="T159" s="104"/>
      <c r="U159" s="104"/>
      <c r="V159" s="104"/>
      <c r="W159" s="123" t="str">
        <f t="shared" si="79"/>
        <v>PASS</v>
      </c>
      <c r="X159" s="104"/>
      <c r="Y159" s="104"/>
      <c r="Z159" s="104"/>
      <c r="AA159" s="1"/>
      <c r="AB159" s="1"/>
      <c r="AC159" s="1"/>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c r="CS159" s="2"/>
      <c r="CT159" s="2"/>
      <c r="CU159" s="2"/>
      <c r="CV159" s="2"/>
      <c r="CW159" s="2"/>
      <c r="CX159" s="2"/>
      <c r="CY159" s="2"/>
      <c r="CZ159" s="2"/>
      <c r="DA159" s="2"/>
      <c r="DB159" s="2"/>
      <c r="DC159" s="2"/>
      <c r="DD159" s="2"/>
      <c r="DE159" s="2"/>
      <c r="DF159" s="2"/>
      <c r="DG159"/>
      <c r="DH159"/>
    </row>
    <row r="160" spans="1:112" ht="20" customHeight="1" x14ac:dyDescent="0.2">
      <c r="A160" s="1"/>
      <c r="B160" s="77" t="s">
        <v>99</v>
      </c>
      <c r="C160" s="125">
        <f>MAX(MAX(MAX(AE278:BB278),-MIN(AE278:BB278)),MAX(MAX(BF278:CC278),-MIN(BF278:CC278)),MAX(MAX(CG278:DD278),-MIN(CG278:DD278)))</f>
        <v>0</v>
      </c>
      <c r="D160" s="104"/>
      <c r="E160" s="104"/>
      <c r="F160" s="104"/>
      <c r="G160" s="104"/>
      <c r="H160" s="104"/>
      <c r="I160" s="104"/>
      <c r="J160" s="104"/>
      <c r="K160" s="104"/>
      <c r="L160" s="104"/>
      <c r="M160" s="104"/>
      <c r="N160" s="104"/>
      <c r="O160" s="104"/>
      <c r="P160" s="104"/>
      <c r="Q160" s="104"/>
      <c r="R160" s="104"/>
      <c r="S160" s="104"/>
      <c r="T160" s="104"/>
      <c r="U160" s="104"/>
      <c r="V160" s="104"/>
      <c r="W160" s="123" t="str">
        <f t="shared" si="79"/>
        <v>PASS</v>
      </c>
      <c r="X160" s="104"/>
      <c r="Y160" s="104"/>
      <c r="Z160" s="104"/>
      <c r="AA160" s="1"/>
      <c r="AB160" s="1"/>
      <c r="AC160" s="1"/>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c r="CS160" s="2"/>
      <c r="CT160" s="2"/>
      <c r="CU160" s="2"/>
      <c r="CV160" s="2"/>
      <c r="CW160" s="2"/>
      <c r="CX160" s="2"/>
      <c r="CY160" s="2"/>
      <c r="CZ160" s="2"/>
      <c r="DA160" s="2"/>
      <c r="DB160" s="2"/>
      <c r="DC160" s="2"/>
      <c r="DD160" s="2"/>
      <c r="DE160" s="2"/>
      <c r="DF160" s="2"/>
      <c r="DG160"/>
      <c r="DH160"/>
    </row>
    <row r="161" spans="1:112" ht="20" customHeight="1" x14ac:dyDescent="0.2">
      <c r="A161" s="1"/>
      <c r="B161" s="77" t="s">
        <v>100</v>
      </c>
      <c r="C161" s="125">
        <f>MAX(MAX(MAX(AE276:BB276),-MIN(AE276:BB276)),MAX(MAX(BF276:CC276),-MIN(BF276:CC276)),MAX(MAX(CG276:DD276),-MIN(CG276:DD276)))</f>
        <v>0</v>
      </c>
      <c r="D161" s="104"/>
      <c r="E161" s="104"/>
      <c r="F161" s="104"/>
      <c r="G161" s="104"/>
      <c r="H161" s="104"/>
      <c r="I161" s="104"/>
      <c r="J161" s="104"/>
      <c r="K161" s="104"/>
      <c r="L161" s="104"/>
      <c r="M161" s="104"/>
      <c r="N161" s="104"/>
      <c r="O161" s="104"/>
      <c r="P161" s="104"/>
      <c r="Q161" s="104"/>
      <c r="R161" s="104"/>
      <c r="S161" s="104"/>
      <c r="T161" s="104"/>
      <c r="U161" s="104"/>
      <c r="V161" s="104"/>
      <c r="W161" s="123" t="str">
        <f t="shared" si="79"/>
        <v>PASS</v>
      </c>
      <c r="X161" s="104"/>
      <c r="Y161" s="104"/>
      <c r="Z161" s="104"/>
      <c r="AA161" s="1"/>
      <c r="AB161" s="1"/>
      <c r="AC161" s="1"/>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c r="CS161" s="2"/>
      <c r="CT161" s="2"/>
      <c r="CU161" s="2"/>
      <c r="CV161" s="2"/>
      <c r="CW161" s="2"/>
      <c r="CX161" s="2"/>
      <c r="CY161" s="2"/>
      <c r="CZ161" s="2"/>
      <c r="DA161" s="2"/>
      <c r="DB161" s="2"/>
      <c r="DC161" s="2"/>
      <c r="DD161" s="2"/>
      <c r="DE161" s="2"/>
      <c r="DF161" s="2"/>
      <c r="DG161"/>
      <c r="DH161"/>
    </row>
    <row r="162" spans="1:112" ht="20" customHeight="1" x14ac:dyDescent="0.2">
      <c r="A162" s="1"/>
      <c r="B162" s="77" t="s">
        <v>101</v>
      </c>
      <c r="C162" s="125">
        <f>MAX(MAX(MAX(AE277:BB277),-MIN(AE277:BB277)),MAX(MAX(BF277:CC277),-MIN(BF277:CC277)),MAX(MAX(CG277:DD277),-MIN(CG277:DD277)))</f>
        <v>0</v>
      </c>
      <c r="D162" s="104"/>
      <c r="E162" s="104"/>
      <c r="F162" s="104"/>
      <c r="G162" s="104"/>
      <c r="H162" s="104"/>
      <c r="I162" s="104"/>
      <c r="J162" s="104"/>
      <c r="K162" s="104"/>
      <c r="L162" s="104"/>
      <c r="M162" s="104"/>
      <c r="N162" s="104"/>
      <c r="O162" s="104"/>
      <c r="P162" s="104"/>
      <c r="Q162" s="104"/>
      <c r="R162" s="104"/>
      <c r="S162" s="104"/>
      <c r="T162" s="104"/>
      <c r="U162" s="104"/>
      <c r="V162" s="104"/>
      <c r="W162" s="123" t="str">
        <f t="shared" si="79"/>
        <v>PASS</v>
      </c>
      <c r="X162" s="104"/>
      <c r="Y162" s="104"/>
      <c r="Z162" s="104"/>
      <c r="AA162" s="1"/>
      <c r="AB162" s="1"/>
      <c r="AC162" s="1"/>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c r="CS162" s="2"/>
      <c r="CT162" s="2"/>
      <c r="CU162" s="2"/>
      <c r="CV162" s="2"/>
      <c r="CW162" s="2"/>
      <c r="CX162" s="2"/>
      <c r="CY162" s="2"/>
      <c r="CZ162" s="2"/>
      <c r="DA162" s="2"/>
      <c r="DB162" s="2"/>
      <c r="DC162" s="2"/>
      <c r="DD162" s="2"/>
      <c r="DE162" s="2"/>
      <c r="DF162" s="2"/>
      <c r="DG162"/>
      <c r="DH162"/>
    </row>
    <row r="163" spans="1:112" ht="20" customHeight="1" x14ac:dyDescent="0.2">
      <c r="A163" s="1"/>
      <c r="B163" s="77" t="s">
        <v>102</v>
      </c>
      <c r="C163" s="125">
        <f>ROUND(ABS((inp_open_cash+inp_open_ar+inp_open_oca+inp_open_fa)-(inp_open_ap+inp_open_ocl+inp_open_tax_pay+inp_open_debt+inp_open_sc+inp_open_re)),2)</f>
        <v>0</v>
      </c>
      <c r="D163" s="104"/>
      <c r="E163" s="104"/>
      <c r="F163" s="104"/>
      <c r="G163" s="104"/>
      <c r="H163" s="104"/>
      <c r="I163" s="104"/>
      <c r="J163" s="104"/>
      <c r="K163" s="104"/>
      <c r="L163" s="104"/>
      <c r="M163" s="104"/>
      <c r="N163" s="104"/>
      <c r="O163" s="104"/>
      <c r="P163" s="104"/>
      <c r="Q163" s="104"/>
      <c r="R163" s="104"/>
      <c r="S163" s="104"/>
      <c r="T163" s="104"/>
      <c r="U163" s="104"/>
      <c r="V163" s="104"/>
      <c r="W163" s="123" t="str">
        <f t="shared" si="79"/>
        <v>PASS</v>
      </c>
      <c r="X163" s="104"/>
      <c r="Y163" s="104"/>
      <c r="Z163" s="104"/>
      <c r="AA163" s="1"/>
      <c r="AB163" s="1"/>
      <c r="AC163" s="1"/>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c r="CS163" s="2"/>
      <c r="CT163" s="2"/>
      <c r="CU163" s="2"/>
      <c r="CV163" s="2"/>
      <c r="CW163" s="2"/>
      <c r="CX163" s="2"/>
      <c r="CY163" s="2"/>
      <c r="CZ163" s="2"/>
      <c r="DA163" s="2"/>
      <c r="DB163" s="2"/>
      <c r="DC163" s="2"/>
      <c r="DD163" s="2"/>
      <c r="DE163" s="2"/>
      <c r="DF163" s="2"/>
      <c r="DG163"/>
      <c r="DH163"/>
    </row>
    <row r="164" spans="1:112" x14ac:dyDescent="0.2">
      <c r="A164" s="1"/>
      <c r="B164" s="80" t="s">
        <v>406</v>
      </c>
      <c r="C164" s="81">
        <f>MAX(MAX(MAX(AE283:BB283),-MIN(AE283:BB283)),MAX(MAX(BF283:CC283),-MIN(BF283:CC283)),MAX(MAX(CG283:DD283),-MIN(CG283:DD283)))</f>
        <v>0</v>
      </c>
      <c r="W164" s="82" t="str">
        <f>IF(ROUND(C164,2)=0,"PASS","FAIL")</f>
        <v>PASS</v>
      </c>
      <c r="X164" s="1"/>
      <c r="Y164" s="1"/>
      <c r="Z164" s="1"/>
      <c r="AA164" s="1"/>
      <c r="AB164" s="1"/>
      <c r="AC164" s="1"/>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c r="CS164" s="2"/>
      <c r="CT164" s="2"/>
      <c r="CU164" s="2"/>
      <c r="CV164" s="2"/>
      <c r="CW164" s="2"/>
      <c r="CX164" s="2"/>
      <c r="CY164" s="2"/>
      <c r="CZ164" s="2"/>
      <c r="DA164" s="2"/>
      <c r="DB164" s="2"/>
      <c r="DC164" s="2"/>
      <c r="DD164" s="2"/>
      <c r="DE164" s="2"/>
      <c r="DF164" s="2"/>
      <c r="DG164"/>
      <c r="DH164"/>
    </row>
    <row r="165" spans="1:112" ht="34" customHeight="1" x14ac:dyDescent="0.2">
      <c r="A165" s="1"/>
      <c r="B165" s="83" t="s">
        <v>103</v>
      </c>
      <c r="C165" s="135" t="str">
        <f>IF(OR(ISERROR(C155),ISERROR(C156),ISERROR(C157),ISERROR(C158),ISERROR(C159),ISERROR(C160),ISERROR(C161),ISERROR(C162),ISERROR(C163),ISERROR(C164)),"CHECK INPUTS",IF(AND(W155="PASS",W156="PASS",W157="PASS",W158="PASS",W159="PASS",W160="PASS",W161="PASS",W162="PASS",W163="PASS",W164="PASS"),"PASS","FAIL"))</f>
        <v>PASS</v>
      </c>
      <c r="D165" s="104"/>
      <c r="E165" s="104"/>
      <c r="F165" s="104"/>
      <c r="G165" s="104"/>
      <c r="H165" s="104"/>
      <c r="I165" s="104"/>
      <c r="J165" s="104"/>
      <c r="K165" s="104"/>
      <c r="L165" s="104"/>
      <c r="M165" s="104"/>
      <c r="N165" s="104"/>
      <c r="O165" s="104"/>
      <c r="P165" s="104"/>
      <c r="Q165" s="104"/>
      <c r="R165" s="104"/>
      <c r="S165" s="104"/>
      <c r="T165" s="104"/>
      <c r="U165" s="104"/>
      <c r="V165" s="104"/>
      <c r="W165" s="121" t="s">
        <v>104</v>
      </c>
      <c r="X165" s="104"/>
      <c r="Y165" s="104"/>
      <c r="Z165" s="104"/>
      <c r="AA165" s="1"/>
      <c r="AB165" s="1"/>
      <c r="AC165" s="1"/>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c r="CS165" s="2"/>
      <c r="CT165" s="2"/>
      <c r="CU165" s="2"/>
      <c r="CV165" s="2"/>
      <c r="CW165" s="2"/>
      <c r="CX165" s="2"/>
      <c r="CY165" s="2"/>
      <c r="CZ165" s="2"/>
      <c r="DA165" s="2"/>
      <c r="DB165" s="2"/>
      <c r="DC165" s="2"/>
      <c r="DD165" s="2"/>
      <c r="DE165" s="2"/>
      <c r="DF165" s="2"/>
      <c r="DG165"/>
      <c r="DH165"/>
    </row>
    <row r="166" spans="1:112" x14ac:dyDescent="0.2">
      <c r="A166" s="1"/>
      <c r="B166" s="141" t="s">
        <v>445</v>
      </c>
      <c r="C166" s="140"/>
      <c r="D166" s="140"/>
      <c r="E166" s="140"/>
      <c r="F166" s="140"/>
      <c r="G166" s="140"/>
      <c r="H166" s="140"/>
      <c r="I166" s="140"/>
      <c r="J166" s="6"/>
      <c r="K166" s="1"/>
      <c r="L166" s="1"/>
      <c r="M166" s="1"/>
      <c r="N166" s="1"/>
      <c r="O166" s="1"/>
      <c r="P166" s="1"/>
      <c r="Q166" s="1"/>
      <c r="R166" s="1"/>
      <c r="S166" s="1"/>
      <c r="T166" s="1"/>
      <c r="U166" s="1"/>
      <c r="V166" s="1"/>
      <c r="W166" s="1"/>
      <c r="X166" s="1"/>
      <c r="Y166" s="1"/>
      <c r="Z166" s="1"/>
      <c r="AA166" s="1"/>
      <c r="AB166" s="1"/>
      <c r="AC166" s="1"/>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c r="CS166" s="2"/>
      <c r="CT166" s="2"/>
      <c r="CU166" s="2"/>
      <c r="CV166" s="2"/>
      <c r="CW166" s="2"/>
      <c r="CX166" s="2"/>
      <c r="CY166" s="2"/>
      <c r="CZ166" s="2"/>
      <c r="DA166" s="2"/>
      <c r="DB166" s="2"/>
      <c r="DC166" s="2"/>
      <c r="DD166" s="2"/>
      <c r="DE166" s="2"/>
      <c r="DF166" s="2"/>
      <c r="DG166"/>
      <c r="DH166"/>
    </row>
    <row r="167" spans="1:112" ht="22" customHeight="1" x14ac:dyDescent="0.2">
      <c r="A167" s="1"/>
      <c r="B167" s="4" t="s">
        <v>105</v>
      </c>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3" t="s">
        <v>106</v>
      </c>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c r="CS167" s="2"/>
      <c r="CT167" s="2"/>
      <c r="CU167" s="2"/>
      <c r="CV167" s="2"/>
      <c r="CW167" s="2"/>
      <c r="CX167" s="2"/>
      <c r="CY167" s="2"/>
      <c r="CZ167" s="2"/>
      <c r="DA167" s="2"/>
      <c r="DB167" s="2"/>
      <c r="DC167" s="2"/>
      <c r="DD167" s="2"/>
      <c r="DE167" s="2"/>
      <c r="DF167" s="2"/>
      <c r="DG167"/>
      <c r="DH167"/>
    </row>
    <row r="168" spans="1:112" x14ac:dyDescent="0.2">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c r="CS168" s="2"/>
      <c r="CT168" s="2"/>
      <c r="CU168" s="2"/>
      <c r="CV168" s="2"/>
      <c r="CW168" s="2"/>
      <c r="CX168" s="2"/>
      <c r="CY168" s="2"/>
      <c r="CZ168" s="2"/>
      <c r="DA168" s="2"/>
      <c r="DB168" s="2"/>
      <c r="DC168" s="2"/>
      <c r="DD168" s="2"/>
      <c r="DE168" s="2"/>
      <c r="DF168" s="2"/>
      <c r="DG168"/>
      <c r="DH168"/>
    </row>
    <row r="169" spans="1:112" x14ac:dyDescent="0.2">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c r="CS169" s="2"/>
      <c r="CT169" s="2"/>
      <c r="CU169" s="2"/>
      <c r="CV169" s="2"/>
      <c r="CW169" s="2"/>
      <c r="CX169" s="2"/>
      <c r="CY169" s="2"/>
      <c r="CZ169" s="2"/>
      <c r="DA169" s="2"/>
      <c r="DB169" s="2"/>
      <c r="DC169" s="2"/>
      <c r="DD169" s="2"/>
      <c r="DE169" s="2"/>
      <c r="DF169" s="2"/>
      <c r="DG169"/>
      <c r="DH169"/>
    </row>
    <row r="170" spans="1:112" x14ac:dyDescent="0.2">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c r="CS170" s="2"/>
      <c r="CT170" s="2"/>
      <c r="CU170" s="2"/>
      <c r="CV170" s="2"/>
      <c r="CW170" s="2"/>
      <c r="CX170" s="2"/>
      <c r="CY170" s="2"/>
      <c r="CZ170" s="2"/>
      <c r="DA170" s="2"/>
      <c r="DB170" s="2"/>
      <c r="DC170" s="2"/>
      <c r="DD170" s="2"/>
      <c r="DE170" s="2"/>
      <c r="DF170" s="2"/>
      <c r="DG170"/>
      <c r="DH170"/>
    </row>
    <row r="171" spans="1:112" x14ac:dyDescent="0.2">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c r="CS171" s="2"/>
      <c r="CT171" s="2"/>
      <c r="CU171" s="2"/>
      <c r="CV171" s="2"/>
      <c r="CW171" s="2"/>
      <c r="CX171" s="2"/>
      <c r="CY171" s="2"/>
      <c r="CZ171" s="2"/>
      <c r="DA171" s="2"/>
      <c r="DB171" s="2"/>
      <c r="DC171" s="2"/>
      <c r="DD171" s="2"/>
      <c r="DE171" s="2"/>
      <c r="DF171" s="2"/>
      <c r="DG171"/>
      <c r="DH171"/>
    </row>
    <row r="172" spans="1:112" x14ac:dyDescent="0.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c r="CS172" s="2"/>
      <c r="CT172" s="2"/>
      <c r="CU172" s="2"/>
      <c r="CV172" s="2"/>
      <c r="CW172" s="2"/>
      <c r="CX172" s="2"/>
      <c r="CY172" s="2"/>
      <c r="CZ172" s="2"/>
      <c r="DA172" s="2"/>
      <c r="DB172" s="2"/>
      <c r="DC172" s="2"/>
      <c r="DD172" s="2"/>
      <c r="DE172" s="2"/>
      <c r="DF172" s="2"/>
      <c r="DG172"/>
      <c r="DH172"/>
    </row>
    <row r="173" spans="1:112" x14ac:dyDescent="0.2">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c r="CS173" s="2"/>
      <c r="CT173" s="2"/>
      <c r="CU173" s="2"/>
      <c r="CV173" s="2"/>
      <c r="CW173" s="2"/>
      <c r="CX173" s="2"/>
      <c r="CY173" s="2"/>
      <c r="CZ173" s="2"/>
      <c r="DA173" s="2"/>
      <c r="DB173" s="2"/>
      <c r="DC173" s="2"/>
      <c r="DD173" s="2"/>
      <c r="DE173" s="2"/>
      <c r="DF173" s="2"/>
      <c r="DG173"/>
      <c r="DH173"/>
    </row>
    <row r="174" spans="1:112" x14ac:dyDescent="0.2">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c r="CS174" s="2"/>
      <c r="CT174" s="2"/>
      <c r="CU174" s="2"/>
      <c r="CV174" s="2"/>
      <c r="CW174" s="2"/>
      <c r="CX174" s="2"/>
      <c r="CY174" s="2"/>
      <c r="CZ174" s="2"/>
      <c r="DA174" s="2"/>
      <c r="DB174" s="2"/>
      <c r="DC174" s="2"/>
      <c r="DD174" s="2"/>
      <c r="DE174" s="2"/>
      <c r="DF174" s="2"/>
      <c r="DG174"/>
      <c r="DH174"/>
    </row>
    <row r="175" spans="1:112" x14ac:dyDescent="0.2">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c r="CS175" s="2"/>
      <c r="CT175" s="2"/>
      <c r="CU175" s="2"/>
      <c r="CV175" s="2"/>
      <c r="CW175" s="2"/>
      <c r="CX175" s="2"/>
      <c r="CY175" s="2"/>
      <c r="CZ175" s="2"/>
      <c r="DA175" s="2"/>
      <c r="DB175" s="2"/>
      <c r="DC175" s="2"/>
      <c r="DD175" s="2"/>
      <c r="DE175" s="2"/>
      <c r="DF175" s="2"/>
      <c r="DG175"/>
      <c r="DH175"/>
    </row>
    <row r="176" spans="1:112" x14ac:dyDescent="0.2">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c r="CS176" s="2"/>
      <c r="CT176" s="2"/>
      <c r="CU176" s="2"/>
      <c r="CV176" s="2"/>
      <c r="CW176" s="2"/>
      <c r="CX176" s="2"/>
      <c r="CY176" s="2"/>
      <c r="CZ176" s="2"/>
      <c r="DA176" s="2"/>
      <c r="DB176" s="2"/>
      <c r="DC176" s="2"/>
      <c r="DD176" s="2"/>
      <c r="DE176" s="2"/>
      <c r="DF176" s="2"/>
      <c r="DG176"/>
      <c r="DH176"/>
    </row>
    <row r="177" spans="1:112" x14ac:dyDescent="0.2">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c r="CS177" s="2"/>
      <c r="CT177" s="2"/>
      <c r="CU177" s="2"/>
      <c r="CV177" s="2"/>
      <c r="CW177" s="2"/>
      <c r="CX177" s="2"/>
      <c r="CY177" s="2"/>
      <c r="CZ177" s="2"/>
      <c r="DA177" s="2"/>
      <c r="DB177" s="2"/>
      <c r="DC177" s="2"/>
      <c r="DD177" s="2"/>
      <c r="DE177" s="2"/>
      <c r="DF177" s="2"/>
      <c r="DG177"/>
      <c r="DH177"/>
    </row>
    <row r="178" spans="1:112" x14ac:dyDescent="0.2">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c r="CS178" s="2"/>
      <c r="CT178" s="2"/>
      <c r="CU178" s="2"/>
      <c r="CV178" s="2"/>
      <c r="CW178" s="2"/>
      <c r="CX178" s="2"/>
      <c r="CY178" s="2"/>
      <c r="CZ178" s="2"/>
      <c r="DA178" s="2"/>
      <c r="DB178" s="2"/>
      <c r="DC178" s="2"/>
      <c r="DD178" s="2"/>
      <c r="DE178" s="2"/>
      <c r="DF178" s="2"/>
      <c r="DG178"/>
      <c r="DH178"/>
    </row>
    <row r="179" spans="1:112" hidden="1" x14ac:dyDescent="0.2">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c r="CS179" s="2"/>
      <c r="CT179" s="2"/>
      <c r="CU179" s="2"/>
      <c r="CV179" s="2"/>
      <c r="CW179" s="2"/>
      <c r="CX179" s="2"/>
      <c r="CY179" s="2"/>
      <c r="CZ179" s="2"/>
      <c r="DA179" s="2"/>
      <c r="DB179" s="2"/>
      <c r="DC179" s="2"/>
      <c r="DD179" s="2"/>
      <c r="DE179" s="2"/>
      <c r="DF179" s="2"/>
      <c r="DG179"/>
      <c r="DH179"/>
    </row>
    <row r="180" spans="1:112" hidden="1" x14ac:dyDescent="0.2">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84">
        <f>MATCH(inp_scenario,ref_scn_names,0)</f>
        <v>1</v>
      </c>
      <c r="AF180" s="84">
        <f>MATCH(inp_view,{"Income Statement","Cash Flow","Balance Sheet","All Three"},0)</f>
        <v>4</v>
      </c>
      <c r="AG180" s="84">
        <f>IF(inp_horizon="24 months",24,12)</f>
        <v>24</v>
      </c>
      <c r="AH180" s="84"/>
      <c r="AI180" s="84"/>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c r="CS180" s="2"/>
      <c r="CT180" s="2"/>
      <c r="CU180" s="2"/>
      <c r="CV180" s="2"/>
      <c r="CW180" s="2"/>
      <c r="CX180" s="2"/>
      <c r="CY180" s="2"/>
      <c r="CZ180" s="2"/>
      <c r="DA180" s="2"/>
      <c r="DB180" s="2"/>
      <c r="DC180" s="2"/>
      <c r="DD180" s="2"/>
      <c r="DE180" s="2"/>
      <c r="DF180" s="2"/>
      <c r="DG180"/>
      <c r="DH180"/>
    </row>
    <row r="181" spans="1:112" hidden="1" x14ac:dyDescent="0.2">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c r="CS181" s="2"/>
      <c r="CT181" s="2"/>
      <c r="CU181" s="2"/>
      <c r="CV181" s="2"/>
      <c r="CW181" s="2"/>
      <c r="CX181" s="2"/>
      <c r="CY181" s="2"/>
      <c r="CZ181" s="2"/>
      <c r="DA181" s="2"/>
      <c r="DB181" s="2"/>
      <c r="DC181" s="2"/>
      <c r="DD181" s="2"/>
      <c r="DE181" s="2"/>
      <c r="DF181" s="2"/>
      <c r="DG181"/>
      <c r="DH181"/>
    </row>
    <row r="182" spans="1:112" hidden="1" x14ac:dyDescent="0.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c r="CS182" s="2"/>
      <c r="CT182" s="2"/>
      <c r="CU182" s="2"/>
      <c r="CV182" s="2"/>
      <c r="CW182" s="2"/>
      <c r="CX182" s="2"/>
      <c r="CY182" s="2"/>
      <c r="CZ182" s="2"/>
      <c r="DA182" s="2"/>
      <c r="DB182" s="2"/>
      <c r="DC182" s="2"/>
      <c r="DD182" s="2"/>
      <c r="DE182" s="2"/>
      <c r="DF182" s="2"/>
      <c r="DG182"/>
      <c r="DH182"/>
    </row>
    <row r="183" spans="1:112" hidden="1" x14ac:dyDescent="0.2">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c r="CS183" s="2"/>
      <c r="CT183" s="2"/>
      <c r="CU183" s="2"/>
      <c r="CV183" s="2"/>
      <c r="CW183" s="2"/>
      <c r="CX183" s="2"/>
      <c r="CY183" s="2"/>
      <c r="CZ183" s="2"/>
      <c r="DA183" s="2"/>
      <c r="DB183" s="2"/>
      <c r="DC183" s="2"/>
      <c r="DD183" s="2"/>
      <c r="DE183" s="2"/>
      <c r="DF183" s="2"/>
      <c r="DG183"/>
      <c r="DH183"/>
    </row>
    <row r="184" spans="1:112" hidden="1" x14ac:dyDescent="0.2">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c r="CS184" s="2"/>
      <c r="CT184" s="2"/>
      <c r="CU184" s="2"/>
      <c r="CV184" s="2"/>
      <c r="CW184" s="2"/>
      <c r="CX184" s="2"/>
      <c r="CY184" s="2"/>
      <c r="CZ184" s="2"/>
      <c r="DA184" s="2"/>
      <c r="DB184" s="2"/>
      <c r="DC184" s="2"/>
      <c r="DD184" s="2"/>
      <c r="DE184" s="2"/>
      <c r="DF184" s="2"/>
      <c r="DG184"/>
      <c r="DH184"/>
    </row>
    <row r="185" spans="1:112" hidden="1" x14ac:dyDescent="0.2">
      <c r="A185" s="2"/>
      <c r="B185" s="35" t="s">
        <v>107</v>
      </c>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69">
        <f>INDEX(inp_rev_sl1,1)*INDEX(ref_scn_rev,1)</f>
        <v>0</v>
      </c>
      <c r="AF185" s="69">
        <f>INDEX(inp_rev_sl1,2)*INDEX(ref_scn_rev,1)</f>
        <v>0</v>
      </c>
      <c r="AG185" s="69">
        <f>INDEX(inp_rev_sl1,3)*INDEX(ref_scn_rev,1)</f>
        <v>0</v>
      </c>
      <c r="AH185" s="69">
        <f>INDEX(inp_rev_sl1,4)*INDEX(ref_scn_rev,1)</f>
        <v>0</v>
      </c>
      <c r="AI185" s="69">
        <f>INDEX(inp_rev_sl1,5)*INDEX(ref_scn_rev,1)</f>
        <v>0</v>
      </c>
      <c r="AJ185" s="69">
        <f>INDEX(inp_rev_sl1,6)*INDEX(ref_scn_rev,1)</f>
        <v>0</v>
      </c>
      <c r="AK185" s="69">
        <f>INDEX(inp_rev_sl1,7)*INDEX(ref_scn_rev,1)</f>
        <v>0</v>
      </c>
      <c r="AL185" s="69">
        <f>INDEX(inp_rev_sl1,8)*INDEX(ref_scn_rev,1)</f>
        <v>0</v>
      </c>
      <c r="AM185" s="69">
        <f>INDEX(inp_rev_sl1,9)*INDEX(ref_scn_rev,1)</f>
        <v>0</v>
      </c>
      <c r="AN185" s="69">
        <f>INDEX(inp_rev_sl1,10)*INDEX(ref_scn_rev,1)</f>
        <v>0</v>
      </c>
      <c r="AO185" s="69">
        <f>INDEX(inp_rev_sl1,11)*INDEX(ref_scn_rev,1)</f>
        <v>0</v>
      </c>
      <c r="AP185" s="69">
        <f>INDEX(inp_rev_sl1,12)*INDEX(ref_scn_rev,1)</f>
        <v>0</v>
      </c>
      <c r="AQ185" s="69">
        <f>INDEX(inp_rev_sl1,13)*INDEX(ref_scn_rev,1)</f>
        <v>0</v>
      </c>
      <c r="AR185" s="69">
        <f>INDEX(inp_rev_sl1,14)*INDEX(ref_scn_rev,1)</f>
        <v>0</v>
      </c>
      <c r="AS185" s="69">
        <f>INDEX(inp_rev_sl1,15)*INDEX(ref_scn_rev,1)</f>
        <v>0</v>
      </c>
      <c r="AT185" s="69">
        <f>INDEX(inp_rev_sl1,16)*INDEX(ref_scn_rev,1)</f>
        <v>0</v>
      </c>
      <c r="AU185" s="69">
        <f>INDEX(inp_rev_sl1,17)*INDEX(ref_scn_rev,1)</f>
        <v>0</v>
      </c>
      <c r="AV185" s="69">
        <f>INDEX(inp_rev_sl1,18)*INDEX(ref_scn_rev,1)</f>
        <v>0</v>
      </c>
      <c r="AW185" s="69">
        <f>INDEX(inp_rev_sl1,19)*INDEX(ref_scn_rev,1)</f>
        <v>0</v>
      </c>
      <c r="AX185" s="69">
        <f>INDEX(inp_rev_sl1,20)*INDEX(ref_scn_rev,1)</f>
        <v>0</v>
      </c>
      <c r="AY185" s="69">
        <f>INDEX(inp_rev_sl1,21)*INDEX(ref_scn_rev,1)</f>
        <v>0</v>
      </c>
      <c r="AZ185" s="69">
        <f>INDEX(inp_rev_sl1,22)*INDEX(ref_scn_rev,1)</f>
        <v>0</v>
      </c>
      <c r="BA185" s="69">
        <f>INDEX(inp_rev_sl1,23)*INDEX(ref_scn_rev,1)</f>
        <v>0</v>
      </c>
      <c r="BB185" s="69">
        <f>INDEX(inp_rev_sl1,24)*INDEX(ref_scn_rev,1)</f>
        <v>0</v>
      </c>
      <c r="BC185" s="70">
        <f t="shared" ref="BC185:BC201" si="80">SUM(AE185:AP185)</f>
        <v>0</v>
      </c>
      <c r="BD185" s="70">
        <f t="shared" ref="BD185:BD201" si="81">SUM(AQ185:BB185)</f>
        <v>0</v>
      </c>
      <c r="BE185" s="2"/>
      <c r="BF185" s="69">
        <f>INDEX(inp_rev_sl1,1)*INDEX(ref_scn_rev,2)</f>
        <v>0</v>
      </c>
      <c r="BG185" s="69">
        <f>INDEX(inp_rev_sl1,2)*INDEX(ref_scn_rev,2)</f>
        <v>0</v>
      </c>
      <c r="BH185" s="69">
        <f>INDEX(inp_rev_sl1,3)*INDEX(ref_scn_rev,2)</f>
        <v>0</v>
      </c>
      <c r="BI185" s="69">
        <f>INDEX(inp_rev_sl1,4)*INDEX(ref_scn_rev,2)</f>
        <v>0</v>
      </c>
      <c r="BJ185" s="69">
        <f>INDEX(inp_rev_sl1,5)*INDEX(ref_scn_rev,2)</f>
        <v>0</v>
      </c>
      <c r="BK185" s="69">
        <f>INDEX(inp_rev_sl1,6)*INDEX(ref_scn_rev,2)</f>
        <v>0</v>
      </c>
      <c r="BL185" s="69">
        <f>INDEX(inp_rev_sl1,7)*INDEX(ref_scn_rev,2)</f>
        <v>0</v>
      </c>
      <c r="BM185" s="69">
        <f>INDEX(inp_rev_sl1,8)*INDEX(ref_scn_rev,2)</f>
        <v>0</v>
      </c>
      <c r="BN185" s="69">
        <f>INDEX(inp_rev_sl1,9)*INDEX(ref_scn_rev,2)</f>
        <v>0</v>
      </c>
      <c r="BO185" s="69">
        <f>INDEX(inp_rev_sl1,10)*INDEX(ref_scn_rev,2)</f>
        <v>0</v>
      </c>
      <c r="BP185" s="69">
        <f>INDEX(inp_rev_sl1,11)*INDEX(ref_scn_rev,2)</f>
        <v>0</v>
      </c>
      <c r="BQ185" s="69">
        <f>INDEX(inp_rev_sl1,12)*INDEX(ref_scn_rev,2)</f>
        <v>0</v>
      </c>
      <c r="BR185" s="69">
        <f>INDEX(inp_rev_sl1,13)*INDEX(ref_scn_rev,2)</f>
        <v>0</v>
      </c>
      <c r="BS185" s="69">
        <f>INDEX(inp_rev_sl1,14)*INDEX(ref_scn_rev,2)</f>
        <v>0</v>
      </c>
      <c r="BT185" s="69">
        <f>INDEX(inp_rev_sl1,15)*INDEX(ref_scn_rev,2)</f>
        <v>0</v>
      </c>
      <c r="BU185" s="69">
        <f>INDEX(inp_rev_sl1,16)*INDEX(ref_scn_rev,2)</f>
        <v>0</v>
      </c>
      <c r="BV185" s="69">
        <f>INDEX(inp_rev_sl1,17)*INDEX(ref_scn_rev,2)</f>
        <v>0</v>
      </c>
      <c r="BW185" s="69">
        <f>INDEX(inp_rev_sl1,18)*INDEX(ref_scn_rev,2)</f>
        <v>0</v>
      </c>
      <c r="BX185" s="69">
        <f>INDEX(inp_rev_sl1,19)*INDEX(ref_scn_rev,2)</f>
        <v>0</v>
      </c>
      <c r="BY185" s="69">
        <f>INDEX(inp_rev_sl1,20)*INDEX(ref_scn_rev,2)</f>
        <v>0</v>
      </c>
      <c r="BZ185" s="69">
        <f>INDEX(inp_rev_sl1,21)*INDEX(ref_scn_rev,2)</f>
        <v>0</v>
      </c>
      <c r="CA185" s="69">
        <f>INDEX(inp_rev_sl1,22)*INDEX(ref_scn_rev,2)</f>
        <v>0</v>
      </c>
      <c r="CB185" s="69">
        <f>INDEX(inp_rev_sl1,23)*INDEX(ref_scn_rev,2)</f>
        <v>0</v>
      </c>
      <c r="CC185" s="69">
        <f>INDEX(inp_rev_sl1,24)*INDEX(ref_scn_rev,2)</f>
        <v>0</v>
      </c>
      <c r="CD185" s="70">
        <f t="shared" ref="CD185:CD201" si="82">SUM(BF185:BQ185)</f>
        <v>0</v>
      </c>
      <c r="CE185" s="70">
        <f t="shared" ref="CE185:CE201" si="83">SUM(BR185:CC185)</f>
        <v>0</v>
      </c>
      <c r="CF185" s="2"/>
      <c r="CG185" s="69">
        <f>INDEX(inp_rev_sl1,1)*INDEX(ref_scn_rev,3)</f>
        <v>0</v>
      </c>
      <c r="CH185" s="69">
        <f>INDEX(inp_rev_sl1,2)*INDEX(ref_scn_rev,3)</f>
        <v>0</v>
      </c>
      <c r="CI185" s="69">
        <f>INDEX(inp_rev_sl1,3)*INDEX(ref_scn_rev,3)</f>
        <v>0</v>
      </c>
      <c r="CJ185" s="69">
        <f>INDEX(inp_rev_sl1,4)*INDEX(ref_scn_rev,3)</f>
        <v>0</v>
      </c>
      <c r="CK185" s="69">
        <f>INDEX(inp_rev_sl1,5)*INDEX(ref_scn_rev,3)</f>
        <v>0</v>
      </c>
      <c r="CL185" s="69">
        <f>INDEX(inp_rev_sl1,6)*INDEX(ref_scn_rev,3)</f>
        <v>0</v>
      </c>
      <c r="CM185" s="69">
        <f>INDEX(inp_rev_sl1,7)*INDEX(ref_scn_rev,3)</f>
        <v>0</v>
      </c>
      <c r="CN185" s="69">
        <f>INDEX(inp_rev_sl1,8)*INDEX(ref_scn_rev,3)</f>
        <v>0</v>
      </c>
      <c r="CO185" s="69">
        <f>INDEX(inp_rev_sl1,9)*INDEX(ref_scn_rev,3)</f>
        <v>0</v>
      </c>
      <c r="CP185" s="69">
        <f>INDEX(inp_rev_sl1,10)*INDEX(ref_scn_rev,3)</f>
        <v>0</v>
      </c>
      <c r="CQ185" s="69">
        <f>INDEX(inp_rev_sl1,11)*INDEX(ref_scn_rev,3)</f>
        <v>0</v>
      </c>
      <c r="CR185" s="69">
        <f>INDEX(inp_rev_sl1,12)*INDEX(ref_scn_rev,3)</f>
        <v>0</v>
      </c>
      <c r="CS185" s="69">
        <f>INDEX(inp_rev_sl1,13)*INDEX(ref_scn_rev,3)</f>
        <v>0</v>
      </c>
      <c r="CT185" s="69">
        <f>INDEX(inp_rev_sl1,14)*INDEX(ref_scn_rev,3)</f>
        <v>0</v>
      </c>
      <c r="CU185" s="69">
        <f>INDEX(inp_rev_sl1,15)*INDEX(ref_scn_rev,3)</f>
        <v>0</v>
      </c>
      <c r="CV185" s="69">
        <f>INDEX(inp_rev_sl1,16)*INDEX(ref_scn_rev,3)</f>
        <v>0</v>
      </c>
      <c r="CW185" s="69">
        <f>INDEX(inp_rev_sl1,17)*INDEX(ref_scn_rev,3)</f>
        <v>0</v>
      </c>
      <c r="CX185" s="69">
        <f>INDEX(inp_rev_sl1,18)*INDEX(ref_scn_rev,3)</f>
        <v>0</v>
      </c>
      <c r="CY185" s="69">
        <f>INDEX(inp_rev_sl1,19)*INDEX(ref_scn_rev,3)</f>
        <v>0</v>
      </c>
      <c r="CZ185" s="69">
        <f>INDEX(inp_rev_sl1,20)*INDEX(ref_scn_rev,3)</f>
        <v>0</v>
      </c>
      <c r="DA185" s="69">
        <f>INDEX(inp_rev_sl1,21)*INDEX(ref_scn_rev,3)</f>
        <v>0</v>
      </c>
      <c r="DB185" s="69">
        <f>INDEX(inp_rev_sl1,22)*INDEX(ref_scn_rev,3)</f>
        <v>0</v>
      </c>
      <c r="DC185" s="69">
        <f>INDEX(inp_rev_sl1,23)*INDEX(ref_scn_rev,3)</f>
        <v>0</v>
      </c>
      <c r="DD185" s="69">
        <f>INDEX(inp_rev_sl1,24)*INDEX(ref_scn_rev,3)</f>
        <v>0</v>
      </c>
      <c r="DE185" s="70">
        <f t="shared" ref="DE185:DE201" si="84">SUM(CG185:CR185)</f>
        <v>0</v>
      </c>
      <c r="DF185" s="70">
        <f t="shared" ref="DF185:DF201" si="85">SUM(CS185:DD185)</f>
        <v>0</v>
      </c>
      <c r="DG185"/>
      <c r="DH185"/>
    </row>
    <row r="186" spans="1:112" hidden="1" x14ac:dyDescent="0.2">
      <c r="A186" s="2"/>
      <c r="B186" s="35" t="s">
        <v>108</v>
      </c>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69">
        <f>INDEX(inp_rev_sl2,1)*INDEX(ref_scn_rev,1)</f>
        <v>0</v>
      </c>
      <c r="AF186" s="69">
        <f>INDEX(inp_rev_sl2,2)*INDEX(ref_scn_rev,1)</f>
        <v>0</v>
      </c>
      <c r="AG186" s="69">
        <f>INDEX(inp_rev_sl2,3)*INDEX(ref_scn_rev,1)</f>
        <v>0</v>
      </c>
      <c r="AH186" s="69">
        <f>INDEX(inp_rev_sl2,4)*INDEX(ref_scn_rev,1)</f>
        <v>0</v>
      </c>
      <c r="AI186" s="69">
        <f>INDEX(inp_rev_sl2,5)*INDEX(ref_scn_rev,1)</f>
        <v>0</v>
      </c>
      <c r="AJ186" s="69">
        <f>INDEX(inp_rev_sl2,6)*INDEX(ref_scn_rev,1)</f>
        <v>0</v>
      </c>
      <c r="AK186" s="69">
        <f>INDEX(inp_rev_sl2,7)*INDEX(ref_scn_rev,1)</f>
        <v>0</v>
      </c>
      <c r="AL186" s="69">
        <f>INDEX(inp_rev_sl2,8)*INDEX(ref_scn_rev,1)</f>
        <v>0</v>
      </c>
      <c r="AM186" s="69">
        <f>INDEX(inp_rev_sl2,9)*INDEX(ref_scn_rev,1)</f>
        <v>0</v>
      </c>
      <c r="AN186" s="69">
        <f>INDEX(inp_rev_sl2,10)*INDEX(ref_scn_rev,1)</f>
        <v>0</v>
      </c>
      <c r="AO186" s="69">
        <f>INDEX(inp_rev_sl2,11)*INDEX(ref_scn_rev,1)</f>
        <v>0</v>
      </c>
      <c r="AP186" s="69">
        <f>INDEX(inp_rev_sl2,12)*INDEX(ref_scn_rev,1)</f>
        <v>0</v>
      </c>
      <c r="AQ186" s="69">
        <f>INDEX(inp_rev_sl2,13)*INDEX(ref_scn_rev,1)</f>
        <v>0</v>
      </c>
      <c r="AR186" s="69">
        <f>INDEX(inp_rev_sl2,14)*INDEX(ref_scn_rev,1)</f>
        <v>0</v>
      </c>
      <c r="AS186" s="69">
        <f>INDEX(inp_rev_sl2,15)*INDEX(ref_scn_rev,1)</f>
        <v>0</v>
      </c>
      <c r="AT186" s="69">
        <f>INDEX(inp_rev_sl2,16)*INDEX(ref_scn_rev,1)</f>
        <v>0</v>
      </c>
      <c r="AU186" s="69">
        <f>INDEX(inp_rev_sl2,17)*INDEX(ref_scn_rev,1)</f>
        <v>0</v>
      </c>
      <c r="AV186" s="69">
        <f>INDEX(inp_rev_sl2,18)*INDEX(ref_scn_rev,1)</f>
        <v>0</v>
      </c>
      <c r="AW186" s="69">
        <f>INDEX(inp_rev_sl2,19)*INDEX(ref_scn_rev,1)</f>
        <v>0</v>
      </c>
      <c r="AX186" s="69">
        <f>INDEX(inp_rev_sl2,20)*INDEX(ref_scn_rev,1)</f>
        <v>0</v>
      </c>
      <c r="AY186" s="69">
        <f>INDEX(inp_rev_sl2,21)*INDEX(ref_scn_rev,1)</f>
        <v>0</v>
      </c>
      <c r="AZ186" s="69">
        <f>INDEX(inp_rev_sl2,22)*INDEX(ref_scn_rev,1)</f>
        <v>0</v>
      </c>
      <c r="BA186" s="69">
        <f>INDEX(inp_rev_sl2,23)*INDEX(ref_scn_rev,1)</f>
        <v>0</v>
      </c>
      <c r="BB186" s="69">
        <f>INDEX(inp_rev_sl2,24)*INDEX(ref_scn_rev,1)</f>
        <v>0</v>
      </c>
      <c r="BC186" s="70">
        <f t="shared" si="80"/>
        <v>0</v>
      </c>
      <c r="BD186" s="70">
        <f t="shared" si="81"/>
        <v>0</v>
      </c>
      <c r="BE186" s="2"/>
      <c r="BF186" s="69">
        <f>INDEX(inp_rev_sl2,1)*INDEX(ref_scn_rev,2)</f>
        <v>0</v>
      </c>
      <c r="BG186" s="69">
        <f>INDEX(inp_rev_sl2,2)*INDEX(ref_scn_rev,2)</f>
        <v>0</v>
      </c>
      <c r="BH186" s="69">
        <f>INDEX(inp_rev_sl2,3)*INDEX(ref_scn_rev,2)</f>
        <v>0</v>
      </c>
      <c r="BI186" s="69">
        <f>INDEX(inp_rev_sl2,4)*INDEX(ref_scn_rev,2)</f>
        <v>0</v>
      </c>
      <c r="BJ186" s="69">
        <f>INDEX(inp_rev_sl2,5)*INDEX(ref_scn_rev,2)</f>
        <v>0</v>
      </c>
      <c r="BK186" s="69">
        <f>INDEX(inp_rev_sl2,6)*INDEX(ref_scn_rev,2)</f>
        <v>0</v>
      </c>
      <c r="BL186" s="69">
        <f>INDEX(inp_rev_sl2,7)*INDEX(ref_scn_rev,2)</f>
        <v>0</v>
      </c>
      <c r="BM186" s="69">
        <f>INDEX(inp_rev_sl2,8)*INDEX(ref_scn_rev,2)</f>
        <v>0</v>
      </c>
      <c r="BN186" s="69">
        <f>INDEX(inp_rev_sl2,9)*INDEX(ref_scn_rev,2)</f>
        <v>0</v>
      </c>
      <c r="BO186" s="69">
        <f>INDEX(inp_rev_sl2,10)*INDEX(ref_scn_rev,2)</f>
        <v>0</v>
      </c>
      <c r="BP186" s="69">
        <f>INDEX(inp_rev_sl2,11)*INDEX(ref_scn_rev,2)</f>
        <v>0</v>
      </c>
      <c r="BQ186" s="69">
        <f>INDEX(inp_rev_sl2,12)*INDEX(ref_scn_rev,2)</f>
        <v>0</v>
      </c>
      <c r="BR186" s="69">
        <f>INDEX(inp_rev_sl2,13)*INDEX(ref_scn_rev,2)</f>
        <v>0</v>
      </c>
      <c r="BS186" s="69">
        <f>INDEX(inp_rev_sl2,14)*INDEX(ref_scn_rev,2)</f>
        <v>0</v>
      </c>
      <c r="BT186" s="69">
        <f>INDEX(inp_rev_sl2,15)*INDEX(ref_scn_rev,2)</f>
        <v>0</v>
      </c>
      <c r="BU186" s="69">
        <f>INDEX(inp_rev_sl2,16)*INDEX(ref_scn_rev,2)</f>
        <v>0</v>
      </c>
      <c r="BV186" s="69">
        <f>INDEX(inp_rev_sl2,17)*INDEX(ref_scn_rev,2)</f>
        <v>0</v>
      </c>
      <c r="BW186" s="69">
        <f>INDEX(inp_rev_sl2,18)*INDEX(ref_scn_rev,2)</f>
        <v>0</v>
      </c>
      <c r="BX186" s="69">
        <f>INDEX(inp_rev_sl2,19)*INDEX(ref_scn_rev,2)</f>
        <v>0</v>
      </c>
      <c r="BY186" s="69">
        <f>INDEX(inp_rev_sl2,20)*INDEX(ref_scn_rev,2)</f>
        <v>0</v>
      </c>
      <c r="BZ186" s="69">
        <f>INDEX(inp_rev_sl2,21)*INDEX(ref_scn_rev,2)</f>
        <v>0</v>
      </c>
      <c r="CA186" s="69">
        <f>INDEX(inp_rev_sl2,22)*INDEX(ref_scn_rev,2)</f>
        <v>0</v>
      </c>
      <c r="CB186" s="69">
        <f>INDEX(inp_rev_sl2,23)*INDEX(ref_scn_rev,2)</f>
        <v>0</v>
      </c>
      <c r="CC186" s="69">
        <f>INDEX(inp_rev_sl2,24)*INDEX(ref_scn_rev,2)</f>
        <v>0</v>
      </c>
      <c r="CD186" s="70">
        <f t="shared" si="82"/>
        <v>0</v>
      </c>
      <c r="CE186" s="70">
        <f t="shared" si="83"/>
        <v>0</v>
      </c>
      <c r="CF186" s="2"/>
      <c r="CG186" s="69">
        <f>INDEX(inp_rev_sl2,1)*INDEX(ref_scn_rev,3)</f>
        <v>0</v>
      </c>
      <c r="CH186" s="69">
        <f>INDEX(inp_rev_sl2,2)*INDEX(ref_scn_rev,3)</f>
        <v>0</v>
      </c>
      <c r="CI186" s="69">
        <f>INDEX(inp_rev_sl2,3)*INDEX(ref_scn_rev,3)</f>
        <v>0</v>
      </c>
      <c r="CJ186" s="69">
        <f>INDEX(inp_rev_sl2,4)*INDEX(ref_scn_rev,3)</f>
        <v>0</v>
      </c>
      <c r="CK186" s="69">
        <f>INDEX(inp_rev_sl2,5)*INDEX(ref_scn_rev,3)</f>
        <v>0</v>
      </c>
      <c r="CL186" s="69">
        <f>INDEX(inp_rev_sl2,6)*INDEX(ref_scn_rev,3)</f>
        <v>0</v>
      </c>
      <c r="CM186" s="69">
        <f>INDEX(inp_rev_sl2,7)*INDEX(ref_scn_rev,3)</f>
        <v>0</v>
      </c>
      <c r="CN186" s="69">
        <f>INDEX(inp_rev_sl2,8)*INDEX(ref_scn_rev,3)</f>
        <v>0</v>
      </c>
      <c r="CO186" s="69">
        <f>INDEX(inp_rev_sl2,9)*INDEX(ref_scn_rev,3)</f>
        <v>0</v>
      </c>
      <c r="CP186" s="69">
        <f>INDEX(inp_rev_sl2,10)*INDEX(ref_scn_rev,3)</f>
        <v>0</v>
      </c>
      <c r="CQ186" s="69">
        <f>INDEX(inp_rev_sl2,11)*INDEX(ref_scn_rev,3)</f>
        <v>0</v>
      </c>
      <c r="CR186" s="69">
        <f>INDEX(inp_rev_sl2,12)*INDEX(ref_scn_rev,3)</f>
        <v>0</v>
      </c>
      <c r="CS186" s="69">
        <f>INDEX(inp_rev_sl2,13)*INDEX(ref_scn_rev,3)</f>
        <v>0</v>
      </c>
      <c r="CT186" s="69">
        <f>INDEX(inp_rev_sl2,14)*INDEX(ref_scn_rev,3)</f>
        <v>0</v>
      </c>
      <c r="CU186" s="69">
        <f>INDEX(inp_rev_sl2,15)*INDEX(ref_scn_rev,3)</f>
        <v>0</v>
      </c>
      <c r="CV186" s="69">
        <f>INDEX(inp_rev_sl2,16)*INDEX(ref_scn_rev,3)</f>
        <v>0</v>
      </c>
      <c r="CW186" s="69">
        <f>INDEX(inp_rev_sl2,17)*INDEX(ref_scn_rev,3)</f>
        <v>0</v>
      </c>
      <c r="CX186" s="69">
        <f>INDEX(inp_rev_sl2,18)*INDEX(ref_scn_rev,3)</f>
        <v>0</v>
      </c>
      <c r="CY186" s="69">
        <f>INDEX(inp_rev_sl2,19)*INDEX(ref_scn_rev,3)</f>
        <v>0</v>
      </c>
      <c r="CZ186" s="69">
        <f>INDEX(inp_rev_sl2,20)*INDEX(ref_scn_rev,3)</f>
        <v>0</v>
      </c>
      <c r="DA186" s="69">
        <f>INDEX(inp_rev_sl2,21)*INDEX(ref_scn_rev,3)</f>
        <v>0</v>
      </c>
      <c r="DB186" s="69">
        <f>INDEX(inp_rev_sl2,22)*INDEX(ref_scn_rev,3)</f>
        <v>0</v>
      </c>
      <c r="DC186" s="69">
        <f>INDEX(inp_rev_sl2,23)*INDEX(ref_scn_rev,3)</f>
        <v>0</v>
      </c>
      <c r="DD186" s="69">
        <f>INDEX(inp_rev_sl2,24)*INDEX(ref_scn_rev,3)</f>
        <v>0</v>
      </c>
      <c r="DE186" s="70">
        <f t="shared" si="84"/>
        <v>0</v>
      </c>
      <c r="DF186" s="70">
        <f t="shared" si="85"/>
        <v>0</v>
      </c>
      <c r="DG186"/>
      <c r="DH186"/>
    </row>
    <row r="187" spans="1:112" hidden="1" x14ac:dyDescent="0.2">
      <c r="A187" s="2"/>
      <c r="B187" s="35" t="s">
        <v>109</v>
      </c>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69">
        <f>INDEX(inp_rev_sl3,1)*INDEX(ref_scn_rev,1)</f>
        <v>0</v>
      </c>
      <c r="AF187" s="69">
        <f>INDEX(inp_rev_sl3,2)*INDEX(ref_scn_rev,1)</f>
        <v>0</v>
      </c>
      <c r="AG187" s="69">
        <f>INDEX(inp_rev_sl3,3)*INDEX(ref_scn_rev,1)</f>
        <v>0</v>
      </c>
      <c r="AH187" s="69">
        <f>INDEX(inp_rev_sl3,4)*INDEX(ref_scn_rev,1)</f>
        <v>0</v>
      </c>
      <c r="AI187" s="69">
        <f>INDEX(inp_rev_sl3,5)*INDEX(ref_scn_rev,1)</f>
        <v>0</v>
      </c>
      <c r="AJ187" s="69">
        <f>INDEX(inp_rev_sl3,6)*INDEX(ref_scn_rev,1)</f>
        <v>0</v>
      </c>
      <c r="AK187" s="69">
        <f>INDEX(inp_rev_sl3,7)*INDEX(ref_scn_rev,1)</f>
        <v>0</v>
      </c>
      <c r="AL187" s="69">
        <f>INDEX(inp_rev_sl3,8)*INDEX(ref_scn_rev,1)</f>
        <v>0</v>
      </c>
      <c r="AM187" s="69">
        <f>INDEX(inp_rev_sl3,9)*INDEX(ref_scn_rev,1)</f>
        <v>0</v>
      </c>
      <c r="AN187" s="69">
        <f>INDEX(inp_rev_sl3,10)*INDEX(ref_scn_rev,1)</f>
        <v>0</v>
      </c>
      <c r="AO187" s="69">
        <f>INDEX(inp_rev_sl3,11)*INDEX(ref_scn_rev,1)</f>
        <v>0</v>
      </c>
      <c r="AP187" s="69">
        <f>INDEX(inp_rev_sl3,12)*INDEX(ref_scn_rev,1)</f>
        <v>0</v>
      </c>
      <c r="AQ187" s="69">
        <f>INDEX(inp_rev_sl3,13)*INDEX(ref_scn_rev,1)</f>
        <v>0</v>
      </c>
      <c r="AR187" s="69">
        <f>INDEX(inp_rev_sl3,14)*INDEX(ref_scn_rev,1)</f>
        <v>0</v>
      </c>
      <c r="AS187" s="69">
        <f>INDEX(inp_rev_sl3,15)*INDEX(ref_scn_rev,1)</f>
        <v>0</v>
      </c>
      <c r="AT187" s="69">
        <f>INDEX(inp_rev_sl3,16)*INDEX(ref_scn_rev,1)</f>
        <v>0</v>
      </c>
      <c r="AU187" s="69">
        <f>INDEX(inp_rev_sl3,17)*INDEX(ref_scn_rev,1)</f>
        <v>0</v>
      </c>
      <c r="AV187" s="69">
        <f>INDEX(inp_rev_sl3,18)*INDEX(ref_scn_rev,1)</f>
        <v>0</v>
      </c>
      <c r="AW187" s="69">
        <f>INDEX(inp_rev_sl3,19)*INDEX(ref_scn_rev,1)</f>
        <v>0</v>
      </c>
      <c r="AX187" s="69">
        <f>INDEX(inp_rev_sl3,20)*INDEX(ref_scn_rev,1)</f>
        <v>0</v>
      </c>
      <c r="AY187" s="69">
        <f>INDEX(inp_rev_sl3,21)*INDEX(ref_scn_rev,1)</f>
        <v>0</v>
      </c>
      <c r="AZ187" s="69">
        <f>INDEX(inp_rev_sl3,22)*INDEX(ref_scn_rev,1)</f>
        <v>0</v>
      </c>
      <c r="BA187" s="69">
        <f>INDEX(inp_rev_sl3,23)*INDEX(ref_scn_rev,1)</f>
        <v>0</v>
      </c>
      <c r="BB187" s="69">
        <f>INDEX(inp_rev_sl3,24)*INDEX(ref_scn_rev,1)</f>
        <v>0</v>
      </c>
      <c r="BC187" s="70">
        <f t="shared" si="80"/>
        <v>0</v>
      </c>
      <c r="BD187" s="70">
        <f t="shared" si="81"/>
        <v>0</v>
      </c>
      <c r="BE187" s="2"/>
      <c r="BF187" s="69">
        <f>INDEX(inp_rev_sl3,1)*INDEX(ref_scn_rev,2)</f>
        <v>0</v>
      </c>
      <c r="BG187" s="69">
        <f>INDEX(inp_rev_sl3,2)*INDEX(ref_scn_rev,2)</f>
        <v>0</v>
      </c>
      <c r="BH187" s="69">
        <f>INDEX(inp_rev_sl3,3)*INDEX(ref_scn_rev,2)</f>
        <v>0</v>
      </c>
      <c r="BI187" s="69">
        <f>INDEX(inp_rev_sl3,4)*INDEX(ref_scn_rev,2)</f>
        <v>0</v>
      </c>
      <c r="BJ187" s="69">
        <f>INDEX(inp_rev_sl3,5)*INDEX(ref_scn_rev,2)</f>
        <v>0</v>
      </c>
      <c r="BK187" s="69">
        <f>INDEX(inp_rev_sl3,6)*INDEX(ref_scn_rev,2)</f>
        <v>0</v>
      </c>
      <c r="BL187" s="69">
        <f>INDEX(inp_rev_sl3,7)*INDEX(ref_scn_rev,2)</f>
        <v>0</v>
      </c>
      <c r="BM187" s="69">
        <f>INDEX(inp_rev_sl3,8)*INDEX(ref_scn_rev,2)</f>
        <v>0</v>
      </c>
      <c r="BN187" s="69">
        <f>INDEX(inp_rev_sl3,9)*INDEX(ref_scn_rev,2)</f>
        <v>0</v>
      </c>
      <c r="BO187" s="69">
        <f>INDEX(inp_rev_sl3,10)*INDEX(ref_scn_rev,2)</f>
        <v>0</v>
      </c>
      <c r="BP187" s="69">
        <f>INDEX(inp_rev_sl3,11)*INDEX(ref_scn_rev,2)</f>
        <v>0</v>
      </c>
      <c r="BQ187" s="69">
        <f>INDEX(inp_rev_sl3,12)*INDEX(ref_scn_rev,2)</f>
        <v>0</v>
      </c>
      <c r="BR187" s="69">
        <f>INDEX(inp_rev_sl3,13)*INDEX(ref_scn_rev,2)</f>
        <v>0</v>
      </c>
      <c r="BS187" s="69">
        <f>INDEX(inp_rev_sl3,14)*INDEX(ref_scn_rev,2)</f>
        <v>0</v>
      </c>
      <c r="BT187" s="69">
        <f>INDEX(inp_rev_sl3,15)*INDEX(ref_scn_rev,2)</f>
        <v>0</v>
      </c>
      <c r="BU187" s="69">
        <f>INDEX(inp_rev_sl3,16)*INDEX(ref_scn_rev,2)</f>
        <v>0</v>
      </c>
      <c r="BV187" s="69">
        <f>INDEX(inp_rev_sl3,17)*INDEX(ref_scn_rev,2)</f>
        <v>0</v>
      </c>
      <c r="BW187" s="69">
        <f>INDEX(inp_rev_sl3,18)*INDEX(ref_scn_rev,2)</f>
        <v>0</v>
      </c>
      <c r="BX187" s="69">
        <f>INDEX(inp_rev_sl3,19)*INDEX(ref_scn_rev,2)</f>
        <v>0</v>
      </c>
      <c r="BY187" s="69">
        <f>INDEX(inp_rev_sl3,20)*INDEX(ref_scn_rev,2)</f>
        <v>0</v>
      </c>
      <c r="BZ187" s="69">
        <f>INDEX(inp_rev_sl3,21)*INDEX(ref_scn_rev,2)</f>
        <v>0</v>
      </c>
      <c r="CA187" s="69">
        <f>INDEX(inp_rev_sl3,22)*INDEX(ref_scn_rev,2)</f>
        <v>0</v>
      </c>
      <c r="CB187" s="69">
        <f>INDEX(inp_rev_sl3,23)*INDEX(ref_scn_rev,2)</f>
        <v>0</v>
      </c>
      <c r="CC187" s="69">
        <f>INDEX(inp_rev_sl3,24)*INDEX(ref_scn_rev,2)</f>
        <v>0</v>
      </c>
      <c r="CD187" s="70">
        <f t="shared" si="82"/>
        <v>0</v>
      </c>
      <c r="CE187" s="70">
        <f t="shared" si="83"/>
        <v>0</v>
      </c>
      <c r="CF187" s="2"/>
      <c r="CG187" s="69">
        <f>INDEX(inp_rev_sl3,1)*INDEX(ref_scn_rev,3)</f>
        <v>0</v>
      </c>
      <c r="CH187" s="69">
        <f>INDEX(inp_rev_sl3,2)*INDEX(ref_scn_rev,3)</f>
        <v>0</v>
      </c>
      <c r="CI187" s="69">
        <f>INDEX(inp_rev_sl3,3)*INDEX(ref_scn_rev,3)</f>
        <v>0</v>
      </c>
      <c r="CJ187" s="69">
        <f>INDEX(inp_rev_sl3,4)*INDEX(ref_scn_rev,3)</f>
        <v>0</v>
      </c>
      <c r="CK187" s="69">
        <f>INDEX(inp_rev_sl3,5)*INDEX(ref_scn_rev,3)</f>
        <v>0</v>
      </c>
      <c r="CL187" s="69">
        <f>INDEX(inp_rev_sl3,6)*INDEX(ref_scn_rev,3)</f>
        <v>0</v>
      </c>
      <c r="CM187" s="69">
        <f>INDEX(inp_rev_sl3,7)*INDEX(ref_scn_rev,3)</f>
        <v>0</v>
      </c>
      <c r="CN187" s="69">
        <f>INDEX(inp_rev_sl3,8)*INDEX(ref_scn_rev,3)</f>
        <v>0</v>
      </c>
      <c r="CO187" s="69">
        <f>INDEX(inp_rev_sl3,9)*INDEX(ref_scn_rev,3)</f>
        <v>0</v>
      </c>
      <c r="CP187" s="69">
        <f>INDEX(inp_rev_sl3,10)*INDEX(ref_scn_rev,3)</f>
        <v>0</v>
      </c>
      <c r="CQ187" s="69">
        <f>INDEX(inp_rev_sl3,11)*INDEX(ref_scn_rev,3)</f>
        <v>0</v>
      </c>
      <c r="CR187" s="69">
        <f>INDEX(inp_rev_sl3,12)*INDEX(ref_scn_rev,3)</f>
        <v>0</v>
      </c>
      <c r="CS187" s="69">
        <f>INDEX(inp_rev_sl3,13)*INDEX(ref_scn_rev,3)</f>
        <v>0</v>
      </c>
      <c r="CT187" s="69">
        <f>INDEX(inp_rev_sl3,14)*INDEX(ref_scn_rev,3)</f>
        <v>0</v>
      </c>
      <c r="CU187" s="69">
        <f>INDEX(inp_rev_sl3,15)*INDEX(ref_scn_rev,3)</f>
        <v>0</v>
      </c>
      <c r="CV187" s="69">
        <f>INDEX(inp_rev_sl3,16)*INDEX(ref_scn_rev,3)</f>
        <v>0</v>
      </c>
      <c r="CW187" s="69">
        <f>INDEX(inp_rev_sl3,17)*INDEX(ref_scn_rev,3)</f>
        <v>0</v>
      </c>
      <c r="CX187" s="69">
        <f>INDEX(inp_rev_sl3,18)*INDEX(ref_scn_rev,3)</f>
        <v>0</v>
      </c>
      <c r="CY187" s="69">
        <f>INDEX(inp_rev_sl3,19)*INDEX(ref_scn_rev,3)</f>
        <v>0</v>
      </c>
      <c r="CZ187" s="69">
        <f>INDEX(inp_rev_sl3,20)*INDEX(ref_scn_rev,3)</f>
        <v>0</v>
      </c>
      <c r="DA187" s="69">
        <f>INDEX(inp_rev_sl3,21)*INDEX(ref_scn_rev,3)</f>
        <v>0</v>
      </c>
      <c r="DB187" s="69">
        <f>INDEX(inp_rev_sl3,22)*INDEX(ref_scn_rev,3)</f>
        <v>0</v>
      </c>
      <c r="DC187" s="69">
        <f>INDEX(inp_rev_sl3,23)*INDEX(ref_scn_rev,3)</f>
        <v>0</v>
      </c>
      <c r="DD187" s="69">
        <f>INDEX(inp_rev_sl3,24)*INDEX(ref_scn_rev,3)</f>
        <v>0</v>
      </c>
      <c r="DE187" s="70">
        <f t="shared" si="84"/>
        <v>0</v>
      </c>
      <c r="DF187" s="70">
        <f t="shared" si="85"/>
        <v>0</v>
      </c>
      <c r="DG187"/>
      <c r="DH187"/>
    </row>
    <row r="188" spans="1:112" hidden="1" x14ac:dyDescent="0.2">
      <c r="A188" s="2"/>
      <c r="B188" s="35" t="s">
        <v>110</v>
      </c>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69">
        <f>INDEX(inp_rev_sl4,1)*INDEX(ref_scn_rev,1)</f>
        <v>0</v>
      </c>
      <c r="AF188" s="69">
        <f>INDEX(inp_rev_sl4,2)*INDEX(ref_scn_rev,1)</f>
        <v>0</v>
      </c>
      <c r="AG188" s="69">
        <f>INDEX(inp_rev_sl4,3)*INDEX(ref_scn_rev,1)</f>
        <v>0</v>
      </c>
      <c r="AH188" s="69">
        <f>INDEX(inp_rev_sl4,4)*INDEX(ref_scn_rev,1)</f>
        <v>0</v>
      </c>
      <c r="AI188" s="69">
        <f>INDEX(inp_rev_sl4,5)*INDEX(ref_scn_rev,1)</f>
        <v>0</v>
      </c>
      <c r="AJ188" s="69">
        <f>INDEX(inp_rev_sl4,6)*INDEX(ref_scn_rev,1)</f>
        <v>0</v>
      </c>
      <c r="AK188" s="69">
        <f>INDEX(inp_rev_sl4,7)*INDEX(ref_scn_rev,1)</f>
        <v>0</v>
      </c>
      <c r="AL188" s="69">
        <f>INDEX(inp_rev_sl4,8)*INDEX(ref_scn_rev,1)</f>
        <v>0</v>
      </c>
      <c r="AM188" s="69">
        <f>INDEX(inp_rev_sl4,9)*INDEX(ref_scn_rev,1)</f>
        <v>0</v>
      </c>
      <c r="AN188" s="69">
        <f>INDEX(inp_rev_sl4,10)*INDEX(ref_scn_rev,1)</f>
        <v>0</v>
      </c>
      <c r="AO188" s="69">
        <f>INDEX(inp_rev_sl4,11)*INDEX(ref_scn_rev,1)</f>
        <v>0</v>
      </c>
      <c r="AP188" s="69">
        <f>INDEX(inp_rev_sl4,12)*INDEX(ref_scn_rev,1)</f>
        <v>0</v>
      </c>
      <c r="AQ188" s="69">
        <f>INDEX(inp_rev_sl4,13)*INDEX(ref_scn_rev,1)</f>
        <v>0</v>
      </c>
      <c r="AR188" s="69">
        <f>INDEX(inp_rev_sl4,14)*INDEX(ref_scn_rev,1)</f>
        <v>0</v>
      </c>
      <c r="AS188" s="69">
        <f>INDEX(inp_rev_sl4,15)*INDEX(ref_scn_rev,1)</f>
        <v>0</v>
      </c>
      <c r="AT188" s="69">
        <f>INDEX(inp_rev_sl4,16)*INDEX(ref_scn_rev,1)</f>
        <v>0</v>
      </c>
      <c r="AU188" s="69">
        <f>INDEX(inp_rev_sl4,17)*INDEX(ref_scn_rev,1)</f>
        <v>0</v>
      </c>
      <c r="AV188" s="69">
        <f>INDEX(inp_rev_sl4,18)*INDEX(ref_scn_rev,1)</f>
        <v>0</v>
      </c>
      <c r="AW188" s="69">
        <f>INDEX(inp_rev_sl4,19)*INDEX(ref_scn_rev,1)</f>
        <v>0</v>
      </c>
      <c r="AX188" s="69">
        <f>INDEX(inp_rev_sl4,20)*INDEX(ref_scn_rev,1)</f>
        <v>0</v>
      </c>
      <c r="AY188" s="69">
        <f>INDEX(inp_rev_sl4,21)*INDEX(ref_scn_rev,1)</f>
        <v>0</v>
      </c>
      <c r="AZ188" s="69">
        <f>INDEX(inp_rev_sl4,22)*INDEX(ref_scn_rev,1)</f>
        <v>0</v>
      </c>
      <c r="BA188" s="69">
        <f>INDEX(inp_rev_sl4,23)*INDEX(ref_scn_rev,1)</f>
        <v>0</v>
      </c>
      <c r="BB188" s="69">
        <f>INDEX(inp_rev_sl4,24)*INDEX(ref_scn_rev,1)</f>
        <v>0</v>
      </c>
      <c r="BC188" s="70">
        <f t="shared" si="80"/>
        <v>0</v>
      </c>
      <c r="BD188" s="70">
        <f t="shared" si="81"/>
        <v>0</v>
      </c>
      <c r="BE188" s="2"/>
      <c r="BF188" s="69">
        <f>INDEX(inp_rev_sl4,1)*INDEX(ref_scn_rev,2)</f>
        <v>0</v>
      </c>
      <c r="BG188" s="69">
        <f>INDEX(inp_rev_sl4,2)*INDEX(ref_scn_rev,2)</f>
        <v>0</v>
      </c>
      <c r="BH188" s="69">
        <f>INDEX(inp_rev_sl4,3)*INDEX(ref_scn_rev,2)</f>
        <v>0</v>
      </c>
      <c r="BI188" s="69">
        <f>INDEX(inp_rev_sl4,4)*INDEX(ref_scn_rev,2)</f>
        <v>0</v>
      </c>
      <c r="BJ188" s="69">
        <f>INDEX(inp_rev_sl4,5)*INDEX(ref_scn_rev,2)</f>
        <v>0</v>
      </c>
      <c r="BK188" s="69">
        <f>INDEX(inp_rev_sl4,6)*INDEX(ref_scn_rev,2)</f>
        <v>0</v>
      </c>
      <c r="BL188" s="69">
        <f>INDEX(inp_rev_sl4,7)*INDEX(ref_scn_rev,2)</f>
        <v>0</v>
      </c>
      <c r="BM188" s="69">
        <f>INDEX(inp_rev_sl4,8)*INDEX(ref_scn_rev,2)</f>
        <v>0</v>
      </c>
      <c r="BN188" s="69">
        <f>INDEX(inp_rev_sl4,9)*INDEX(ref_scn_rev,2)</f>
        <v>0</v>
      </c>
      <c r="BO188" s="69">
        <f>INDEX(inp_rev_sl4,10)*INDEX(ref_scn_rev,2)</f>
        <v>0</v>
      </c>
      <c r="BP188" s="69">
        <f>INDEX(inp_rev_sl4,11)*INDEX(ref_scn_rev,2)</f>
        <v>0</v>
      </c>
      <c r="BQ188" s="69">
        <f>INDEX(inp_rev_sl4,12)*INDEX(ref_scn_rev,2)</f>
        <v>0</v>
      </c>
      <c r="BR188" s="69">
        <f>INDEX(inp_rev_sl4,13)*INDEX(ref_scn_rev,2)</f>
        <v>0</v>
      </c>
      <c r="BS188" s="69">
        <f>INDEX(inp_rev_sl4,14)*INDEX(ref_scn_rev,2)</f>
        <v>0</v>
      </c>
      <c r="BT188" s="69">
        <f>INDEX(inp_rev_sl4,15)*INDEX(ref_scn_rev,2)</f>
        <v>0</v>
      </c>
      <c r="BU188" s="69">
        <f>INDEX(inp_rev_sl4,16)*INDEX(ref_scn_rev,2)</f>
        <v>0</v>
      </c>
      <c r="BV188" s="69">
        <f>INDEX(inp_rev_sl4,17)*INDEX(ref_scn_rev,2)</f>
        <v>0</v>
      </c>
      <c r="BW188" s="69">
        <f>INDEX(inp_rev_sl4,18)*INDEX(ref_scn_rev,2)</f>
        <v>0</v>
      </c>
      <c r="BX188" s="69">
        <f>INDEX(inp_rev_sl4,19)*INDEX(ref_scn_rev,2)</f>
        <v>0</v>
      </c>
      <c r="BY188" s="69">
        <f>INDEX(inp_rev_sl4,20)*INDEX(ref_scn_rev,2)</f>
        <v>0</v>
      </c>
      <c r="BZ188" s="69">
        <f>INDEX(inp_rev_sl4,21)*INDEX(ref_scn_rev,2)</f>
        <v>0</v>
      </c>
      <c r="CA188" s="69">
        <f>INDEX(inp_rev_sl4,22)*INDEX(ref_scn_rev,2)</f>
        <v>0</v>
      </c>
      <c r="CB188" s="69">
        <f>INDEX(inp_rev_sl4,23)*INDEX(ref_scn_rev,2)</f>
        <v>0</v>
      </c>
      <c r="CC188" s="69">
        <f>INDEX(inp_rev_sl4,24)*INDEX(ref_scn_rev,2)</f>
        <v>0</v>
      </c>
      <c r="CD188" s="70">
        <f t="shared" si="82"/>
        <v>0</v>
      </c>
      <c r="CE188" s="70">
        <f t="shared" si="83"/>
        <v>0</v>
      </c>
      <c r="CF188" s="2"/>
      <c r="CG188" s="69">
        <f>INDEX(inp_rev_sl4,1)*INDEX(ref_scn_rev,3)</f>
        <v>0</v>
      </c>
      <c r="CH188" s="69">
        <f>INDEX(inp_rev_sl4,2)*INDEX(ref_scn_rev,3)</f>
        <v>0</v>
      </c>
      <c r="CI188" s="69">
        <f>INDEX(inp_rev_sl4,3)*INDEX(ref_scn_rev,3)</f>
        <v>0</v>
      </c>
      <c r="CJ188" s="69">
        <f>INDEX(inp_rev_sl4,4)*INDEX(ref_scn_rev,3)</f>
        <v>0</v>
      </c>
      <c r="CK188" s="69">
        <f>INDEX(inp_rev_sl4,5)*INDEX(ref_scn_rev,3)</f>
        <v>0</v>
      </c>
      <c r="CL188" s="69">
        <f>INDEX(inp_rev_sl4,6)*INDEX(ref_scn_rev,3)</f>
        <v>0</v>
      </c>
      <c r="CM188" s="69">
        <f>INDEX(inp_rev_sl4,7)*INDEX(ref_scn_rev,3)</f>
        <v>0</v>
      </c>
      <c r="CN188" s="69">
        <f>INDEX(inp_rev_sl4,8)*INDEX(ref_scn_rev,3)</f>
        <v>0</v>
      </c>
      <c r="CO188" s="69">
        <f>INDEX(inp_rev_sl4,9)*INDEX(ref_scn_rev,3)</f>
        <v>0</v>
      </c>
      <c r="CP188" s="69">
        <f>INDEX(inp_rev_sl4,10)*INDEX(ref_scn_rev,3)</f>
        <v>0</v>
      </c>
      <c r="CQ188" s="69">
        <f>INDEX(inp_rev_sl4,11)*INDEX(ref_scn_rev,3)</f>
        <v>0</v>
      </c>
      <c r="CR188" s="69">
        <f>INDEX(inp_rev_sl4,12)*INDEX(ref_scn_rev,3)</f>
        <v>0</v>
      </c>
      <c r="CS188" s="69">
        <f>INDEX(inp_rev_sl4,13)*INDEX(ref_scn_rev,3)</f>
        <v>0</v>
      </c>
      <c r="CT188" s="69">
        <f>INDEX(inp_rev_sl4,14)*INDEX(ref_scn_rev,3)</f>
        <v>0</v>
      </c>
      <c r="CU188" s="69">
        <f>INDEX(inp_rev_sl4,15)*INDEX(ref_scn_rev,3)</f>
        <v>0</v>
      </c>
      <c r="CV188" s="69">
        <f>INDEX(inp_rev_sl4,16)*INDEX(ref_scn_rev,3)</f>
        <v>0</v>
      </c>
      <c r="CW188" s="69">
        <f>INDEX(inp_rev_sl4,17)*INDEX(ref_scn_rev,3)</f>
        <v>0</v>
      </c>
      <c r="CX188" s="69">
        <f>INDEX(inp_rev_sl4,18)*INDEX(ref_scn_rev,3)</f>
        <v>0</v>
      </c>
      <c r="CY188" s="69">
        <f>INDEX(inp_rev_sl4,19)*INDEX(ref_scn_rev,3)</f>
        <v>0</v>
      </c>
      <c r="CZ188" s="69">
        <f>INDEX(inp_rev_sl4,20)*INDEX(ref_scn_rev,3)</f>
        <v>0</v>
      </c>
      <c r="DA188" s="69">
        <f>INDEX(inp_rev_sl4,21)*INDEX(ref_scn_rev,3)</f>
        <v>0</v>
      </c>
      <c r="DB188" s="69">
        <f>INDEX(inp_rev_sl4,22)*INDEX(ref_scn_rev,3)</f>
        <v>0</v>
      </c>
      <c r="DC188" s="69">
        <f>INDEX(inp_rev_sl4,23)*INDEX(ref_scn_rev,3)</f>
        <v>0</v>
      </c>
      <c r="DD188" s="69">
        <f>INDEX(inp_rev_sl4,24)*INDEX(ref_scn_rev,3)</f>
        <v>0</v>
      </c>
      <c r="DE188" s="70">
        <f t="shared" si="84"/>
        <v>0</v>
      </c>
      <c r="DF188" s="70">
        <f t="shared" si="85"/>
        <v>0</v>
      </c>
      <c r="DG188"/>
      <c r="DH188"/>
    </row>
    <row r="189" spans="1:112" hidden="1" x14ac:dyDescent="0.2">
      <c r="A189" s="2"/>
      <c r="B189" s="35" t="s">
        <v>111</v>
      </c>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69">
        <f>INDEX(inp_rev_sl5,1)*INDEX(ref_scn_rev,1)</f>
        <v>0</v>
      </c>
      <c r="AF189" s="69">
        <f>INDEX(inp_rev_sl5,2)*INDEX(ref_scn_rev,1)</f>
        <v>0</v>
      </c>
      <c r="AG189" s="69">
        <f>INDEX(inp_rev_sl5,3)*INDEX(ref_scn_rev,1)</f>
        <v>0</v>
      </c>
      <c r="AH189" s="69">
        <f>INDEX(inp_rev_sl5,4)*INDEX(ref_scn_rev,1)</f>
        <v>0</v>
      </c>
      <c r="AI189" s="69">
        <f>INDEX(inp_rev_sl5,5)*INDEX(ref_scn_rev,1)</f>
        <v>0</v>
      </c>
      <c r="AJ189" s="69">
        <f>INDEX(inp_rev_sl5,6)*INDEX(ref_scn_rev,1)</f>
        <v>0</v>
      </c>
      <c r="AK189" s="69">
        <f>INDEX(inp_rev_sl5,7)*INDEX(ref_scn_rev,1)</f>
        <v>0</v>
      </c>
      <c r="AL189" s="69">
        <f>INDEX(inp_rev_sl5,8)*INDEX(ref_scn_rev,1)</f>
        <v>0</v>
      </c>
      <c r="AM189" s="69">
        <f>INDEX(inp_rev_sl5,9)*INDEX(ref_scn_rev,1)</f>
        <v>0</v>
      </c>
      <c r="AN189" s="69">
        <f>INDEX(inp_rev_sl5,10)*INDEX(ref_scn_rev,1)</f>
        <v>0</v>
      </c>
      <c r="AO189" s="69">
        <f>INDEX(inp_rev_sl5,11)*INDEX(ref_scn_rev,1)</f>
        <v>0</v>
      </c>
      <c r="AP189" s="69">
        <f>INDEX(inp_rev_sl5,12)*INDEX(ref_scn_rev,1)</f>
        <v>0</v>
      </c>
      <c r="AQ189" s="69">
        <f>INDEX(inp_rev_sl5,13)*INDEX(ref_scn_rev,1)</f>
        <v>0</v>
      </c>
      <c r="AR189" s="69">
        <f>INDEX(inp_rev_sl5,14)*INDEX(ref_scn_rev,1)</f>
        <v>0</v>
      </c>
      <c r="AS189" s="69">
        <f>INDEX(inp_rev_sl5,15)*INDEX(ref_scn_rev,1)</f>
        <v>0</v>
      </c>
      <c r="AT189" s="69">
        <f>INDEX(inp_rev_sl5,16)*INDEX(ref_scn_rev,1)</f>
        <v>0</v>
      </c>
      <c r="AU189" s="69">
        <f>INDEX(inp_rev_sl5,17)*INDEX(ref_scn_rev,1)</f>
        <v>0</v>
      </c>
      <c r="AV189" s="69">
        <f>INDEX(inp_rev_sl5,18)*INDEX(ref_scn_rev,1)</f>
        <v>0</v>
      </c>
      <c r="AW189" s="69">
        <f>INDEX(inp_rev_sl5,19)*INDEX(ref_scn_rev,1)</f>
        <v>0</v>
      </c>
      <c r="AX189" s="69">
        <f>INDEX(inp_rev_sl5,20)*INDEX(ref_scn_rev,1)</f>
        <v>0</v>
      </c>
      <c r="AY189" s="69">
        <f>INDEX(inp_rev_sl5,21)*INDEX(ref_scn_rev,1)</f>
        <v>0</v>
      </c>
      <c r="AZ189" s="69">
        <f>INDEX(inp_rev_sl5,22)*INDEX(ref_scn_rev,1)</f>
        <v>0</v>
      </c>
      <c r="BA189" s="69">
        <f>INDEX(inp_rev_sl5,23)*INDEX(ref_scn_rev,1)</f>
        <v>0</v>
      </c>
      <c r="BB189" s="69">
        <f>INDEX(inp_rev_sl5,24)*INDEX(ref_scn_rev,1)</f>
        <v>0</v>
      </c>
      <c r="BC189" s="70">
        <f t="shared" si="80"/>
        <v>0</v>
      </c>
      <c r="BD189" s="70">
        <f t="shared" si="81"/>
        <v>0</v>
      </c>
      <c r="BE189" s="2"/>
      <c r="BF189" s="69">
        <f>INDEX(inp_rev_sl5,1)*INDEX(ref_scn_rev,2)</f>
        <v>0</v>
      </c>
      <c r="BG189" s="69">
        <f>INDEX(inp_rev_sl5,2)*INDEX(ref_scn_rev,2)</f>
        <v>0</v>
      </c>
      <c r="BH189" s="69">
        <f>INDEX(inp_rev_sl5,3)*INDEX(ref_scn_rev,2)</f>
        <v>0</v>
      </c>
      <c r="BI189" s="69">
        <f>INDEX(inp_rev_sl5,4)*INDEX(ref_scn_rev,2)</f>
        <v>0</v>
      </c>
      <c r="BJ189" s="69">
        <f>INDEX(inp_rev_sl5,5)*INDEX(ref_scn_rev,2)</f>
        <v>0</v>
      </c>
      <c r="BK189" s="69">
        <f>INDEX(inp_rev_sl5,6)*INDEX(ref_scn_rev,2)</f>
        <v>0</v>
      </c>
      <c r="BL189" s="69">
        <f>INDEX(inp_rev_sl5,7)*INDEX(ref_scn_rev,2)</f>
        <v>0</v>
      </c>
      <c r="BM189" s="69">
        <f>INDEX(inp_rev_sl5,8)*INDEX(ref_scn_rev,2)</f>
        <v>0</v>
      </c>
      <c r="BN189" s="69">
        <f>INDEX(inp_rev_sl5,9)*INDEX(ref_scn_rev,2)</f>
        <v>0</v>
      </c>
      <c r="BO189" s="69">
        <f>INDEX(inp_rev_sl5,10)*INDEX(ref_scn_rev,2)</f>
        <v>0</v>
      </c>
      <c r="BP189" s="69">
        <f>INDEX(inp_rev_sl5,11)*INDEX(ref_scn_rev,2)</f>
        <v>0</v>
      </c>
      <c r="BQ189" s="69">
        <f>INDEX(inp_rev_sl5,12)*INDEX(ref_scn_rev,2)</f>
        <v>0</v>
      </c>
      <c r="BR189" s="69">
        <f>INDEX(inp_rev_sl5,13)*INDEX(ref_scn_rev,2)</f>
        <v>0</v>
      </c>
      <c r="BS189" s="69">
        <f>INDEX(inp_rev_sl5,14)*INDEX(ref_scn_rev,2)</f>
        <v>0</v>
      </c>
      <c r="BT189" s="69">
        <f>INDEX(inp_rev_sl5,15)*INDEX(ref_scn_rev,2)</f>
        <v>0</v>
      </c>
      <c r="BU189" s="69">
        <f>INDEX(inp_rev_sl5,16)*INDEX(ref_scn_rev,2)</f>
        <v>0</v>
      </c>
      <c r="BV189" s="69">
        <f>INDEX(inp_rev_sl5,17)*INDEX(ref_scn_rev,2)</f>
        <v>0</v>
      </c>
      <c r="BW189" s="69">
        <f>INDEX(inp_rev_sl5,18)*INDEX(ref_scn_rev,2)</f>
        <v>0</v>
      </c>
      <c r="BX189" s="69">
        <f>INDEX(inp_rev_sl5,19)*INDEX(ref_scn_rev,2)</f>
        <v>0</v>
      </c>
      <c r="BY189" s="69">
        <f>INDEX(inp_rev_sl5,20)*INDEX(ref_scn_rev,2)</f>
        <v>0</v>
      </c>
      <c r="BZ189" s="69">
        <f>INDEX(inp_rev_sl5,21)*INDEX(ref_scn_rev,2)</f>
        <v>0</v>
      </c>
      <c r="CA189" s="69">
        <f>INDEX(inp_rev_sl5,22)*INDEX(ref_scn_rev,2)</f>
        <v>0</v>
      </c>
      <c r="CB189" s="69">
        <f>INDEX(inp_rev_sl5,23)*INDEX(ref_scn_rev,2)</f>
        <v>0</v>
      </c>
      <c r="CC189" s="69">
        <f>INDEX(inp_rev_sl5,24)*INDEX(ref_scn_rev,2)</f>
        <v>0</v>
      </c>
      <c r="CD189" s="70">
        <f t="shared" si="82"/>
        <v>0</v>
      </c>
      <c r="CE189" s="70">
        <f t="shared" si="83"/>
        <v>0</v>
      </c>
      <c r="CF189" s="2"/>
      <c r="CG189" s="69">
        <f>INDEX(inp_rev_sl5,1)*INDEX(ref_scn_rev,3)</f>
        <v>0</v>
      </c>
      <c r="CH189" s="69">
        <f>INDEX(inp_rev_sl5,2)*INDEX(ref_scn_rev,3)</f>
        <v>0</v>
      </c>
      <c r="CI189" s="69">
        <f>INDEX(inp_rev_sl5,3)*INDEX(ref_scn_rev,3)</f>
        <v>0</v>
      </c>
      <c r="CJ189" s="69">
        <f>INDEX(inp_rev_sl5,4)*INDEX(ref_scn_rev,3)</f>
        <v>0</v>
      </c>
      <c r="CK189" s="69">
        <f>INDEX(inp_rev_sl5,5)*INDEX(ref_scn_rev,3)</f>
        <v>0</v>
      </c>
      <c r="CL189" s="69">
        <f>INDEX(inp_rev_sl5,6)*INDEX(ref_scn_rev,3)</f>
        <v>0</v>
      </c>
      <c r="CM189" s="69">
        <f>INDEX(inp_rev_sl5,7)*INDEX(ref_scn_rev,3)</f>
        <v>0</v>
      </c>
      <c r="CN189" s="69">
        <f>INDEX(inp_rev_sl5,8)*INDEX(ref_scn_rev,3)</f>
        <v>0</v>
      </c>
      <c r="CO189" s="69">
        <f>INDEX(inp_rev_sl5,9)*INDEX(ref_scn_rev,3)</f>
        <v>0</v>
      </c>
      <c r="CP189" s="69">
        <f>INDEX(inp_rev_sl5,10)*INDEX(ref_scn_rev,3)</f>
        <v>0</v>
      </c>
      <c r="CQ189" s="69">
        <f>INDEX(inp_rev_sl5,11)*INDEX(ref_scn_rev,3)</f>
        <v>0</v>
      </c>
      <c r="CR189" s="69">
        <f>INDEX(inp_rev_sl5,12)*INDEX(ref_scn_rev,3)</f>
        <v>0</v>
      </c>
      <c r="CS189" s="69">
        <f>INDEX(inp_rev_sl5,13)*INDEX(ref_scn_rev,3)</f>
        <v>0</v>
      </c>
      <c r="CT189" s="69">
        <f>INDEX(inp_rev_sl5,14)*INDEX(ref_scn_rev,3)</f>
        <v>0</v>
      </c>
      <c r="CU189" s="69">
        <f>INDEX(inp_rev_sl5,15)*INDEX(ref_scn_rev,3)</f>
        <v>0</v>
      </c>
      <c r="CV189" s="69">
        <f>INDEX(inp_rev_sl5,16)*INDEX(ref_scn_rev,3)</f>
        <v>0</v>
      </c>
      <c r="CW189" s="69">
        <f>INDEX(inp_rev_sl5,17)*INDEX(ref_scn_rev,3)</f>
        <v>0</v>
      </c>
      <c r="CX189" s="69">
        <f>INDEX(inp_rev_sl5,18)*INDEX(ref_scn_rev,3)</f>
        <v>0</v>
      </c>
      <c r="CY189" s="69">
        <f>INDEX(inp_rev_sl5,19)*INDEX(ref_scn_rev,3)</f>
        <v>0</v>
      </c>
      <c r="CZ189" s="69">
        <f>INDEX(inp_rev_sl5,20)*INDEX(ref_scn_rev,3)</f>
        <v>0</v>
      </c>
      <c r="DA189" s="69">
        <f>INDEX(inp_rev_sl5,21)*INDEX(ref_scn_rev,3)</f>
        <v>0</v>
      </c>
      <c r="DB189" s="69">
        <f>INDEX(inp_rev_sl5,22)*INDEX(ref_scn_rev,3)</f>
        <v>0</v>
      </c>
      <c r="DC189" s="69">
        <f>INDEX(inp_rev_sl5,23)*INDEX(ref_scn_rev,3)</f>
        <v>0</v>
      </c>
      <c r="DD189" s="69">
        <f>INDEX(inp_rev_sl5,24)*INDEX(ref_scn_rev,3)</f>
        <v>0</v>
      </c>
      <c r="DE189" s="70">
        <f t="shared" si="84"/>
        <v>0</v>
      </c>
      <c r="DF189" s="70">
        <f t="shared" si="85"/>
        <v>0</v>
      </c>
      <c r="DG189"/>
      <c r="DH189"/>
    </row>
    <row r="190" spans="1:112" hidden="1" x14ac:dyDescent="0.2">
      <c r="A190" s="2"/>
      <c r="B190" s="35" t="s">
        <v>112</v>
      </c>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70">
        <f t="shared" ref="AE190:BB190" si="86">AE185+AE186+AE187+AE188+AE189</f>
        <v>0</v>
      </c>
      <c r="AF190" s="70">
        <f t="shared" si="86"/>
        <v>0</v>
      </c>
      <c r="AG190" s="70">
        <f t="shared" si="86"/>
        <v>0</v>
      </c>
      <c r="AH190" s="70">
        <f t="shared" si="86"/>
        <v>0</v>
      </c>
      <c r="AI190" s="70">
        <f t="shared" si="86"/>
        <v>0</v>
      </c>
      <c r="AJ190" s="70">
        <f t="shared" si="86"/>
        <v>0</v>
      </c>
      <c r="AK190" s="70">
        <f t="shared" si="86"/>
        <v>0</v>
      </c>
      <c r="AL190" s="70">
        <f t="shared" si="86"/>
        <v>0</v>
      </c>
      <c r="AM190" s="70">
        <f t="shared" si="86"/>
        <v>0</v>
      </c>
      <c r="AN190" s="70">
        <f t="shared" si="86"/>
        <v>0</v>
      </c>
      <c r="AO190" s="70">
        <f t="shared" si="86"/>
        <v>0</v>
      </c>
      <c r="AP190" s="70">
        <f t="shared" si="86"/>
        <v>0</v>
      </c>
      <c r="AQ190" s="70">
        <f t="shared" si="86"/>
        <v>0</v>
      </c>
      <c r="AR190" s="70">
        <f t="shared" si="86"/>
        <v>0</v>
      </c>
      <c r="AS190" s="70">
        <f t="shared" si="86"/>
        <v>0</v>
      </c>
      <c r="AT190" s="70">
        <f t="shared" si="86"/>
        <v>0</v>
      </c>
      <c r="AU190" s="70">
        <f t="shared" si="86"/>
        <v>0</v>
      </c>
      <c r="AV190" s="70">
        <f t="shared" si="86"/>
        <v>0</v>
      </c>
      <c r="AW190" s="70">
        <f t="shared" si="86"/>
        <v>0</v>
      </c>
      <c r="AX190" s="70">
        <f t="shared" si="86"/>
        <v>0</v>
      </c>
      <c r="AY190" s="70">
        <f t="shared" si="86"/>
        <v>0</v>
      </c>
      <c r="AZ190" s="70">
        <f t="shared" si="86"/>
        <v>0</v>
      </c>
      <c r="BA190" s="70">
        <f t="shared" si="86"/>
        <v>0</v>
      </c>
      <c r="BB190" s="70">
        <f t="shared" si="86"/>
        <v>0</v>
      </c>
      <c r="BC190" s="70">
        <f t="shared" si="80"/>
        <v>0</v>
      </c>
      <c r="BD190" s="70">
        <f t="shared" si="81"/>
        <v>0</v>
      </c>
      <c r="BE190" s="2"/>
      <c r="BF190" s="70">
        <f t="shared" ref="BF190:CC190" si="87">BF185+BF186+BF187+BF188+BF189</f>
        <v>0</v>
      </c>
      <c r="BG190" s="70">
        <f t="shared" si="87"/>
        <v>0</v>
      </c>
      <c r="BH190" s="70">
        <f t="shared" si="87"/>
        <v>0</v>
      </c>
      <c r="BI190" s="70">
        <f t="shared" si="87"/>
        <v>0</v>
      </c>
      <c r="BJ190" s="70">
        <f t="shared" si="87"/>
        <v>0</v>
      </c>
      <c r="BK190" s="70">
        <f t="shared" si="87"/>
        <v>0</v>
      </c>
      <c r="BL190" s="70">
        <f t="shared" si="87"/>
        <v>0</v>
      </c>
      <c r="BM190" s="70">
        <f t="shared" si="87"/>
        <v>0</v>
      </c>
      <c r="BN190" s="70">
        <f t="shared" si="87"/>
        <v>0</v>
      </c>
      <c r="BO190" s="70">
        <f t="shared" si="87"/>
        <v>0</v>
      </c>
      <c r="BP190" s="70">
        <f t="shared" si="87"/>
        <v>0</v>
      </c>
      <c r="BQ190" s="70">
        <f t="shared" si="87"/>
        <v>0</v>
      </c>
      <c r="BR190" s="70">
        <f t="shared" si="87"/>
        <v>0</v>
      </c>
      <c r="BS190" s="70">
        <f t="shared" si="87"/>
        <v>0</v>
      </c>
      <c r="BT190" s="70">
        <f t="shared" si="87"/>
        <v>0</v>
      </c>
      <c r="BU190" s="70">
        <f t="shared" si="87"/>
        <v>0</v>
      </c>
      <c r="BV190" s="70">
        <f t="shared" si="87"/>
        <v>0</v>
      </c>
      <c r="BW190" s="70">
        <f t="shared" si="87"/>
        <v>0</v>
      </c>
      <c r="BX190" s="70">
        <f t="shared" si="87"/>
        <v>0</v>
      </c>
      <c r="BY190" s="70">
        <f t="shared" si="87"/>
        <v>0</v>
      </c>
      <c r="BZ190" s="70">
        <f t="shared" si="87"/>
        <v>0</v>
      </c>
      <c r="CA190" s="70">
        <f t="shared" si="87"/>
        <v>0</v>
      </c>
      <c r="CB190" s="70">
        <f t="shared" si="87"/>
        <v>0</v>
      </c>
      <c r="CC190" s="70">
        <f t="shared" si="87"/>
        <v>0</v>
      </c>
      <c r="CD190" s="70">
        <f t="shared" si="82"/>
        <v>0</v>
      </c>
      <c r="CE190" s="70">
        <f t="shared" si="83"/>
        <v>0</v>
      </c>
      <c r="CF190" s="2"/>
      <c r="CG190" s="70">
        <f t="shared" ref="CG190:DD190" si="88">CG185+CG186+CG187+CG188+CG189</f>
        <v>0</v>
      </c>
      <c r="CH190" s="70">
        <f t="shared" si="88"/>
        <v>0</v>
      </c>
      <c r="CI190" s="70">
        <f t="shared" si="88"/>
        <v>0</v>
      </c>
      <c r="CJ190" s="70">
        <f t="shared" si="88"/>
        <v>0</v>
      </c>
      <c r="CK190" s="70">
        <f t="shared" si="88"/>
        <v>0</v>
      </c>
      <c r="CL190" s="70">
        <f t="shared" si="88"/>
        <v>0</v>
      </c>
      <c r="CM190" s="70">
        <f t="shared" si="88"/>
        <v>0</v>
      </c>
      <c r="CN190" s="70">
        <f t="shared" si="88"/>
        <v>0</v>
      </c>
      <c r="CO190" s="70">
        <f t="shared" si="88"/>
        <v>0</v>
      </c>
      <c r="CP190" s="70">
        <f t="shared" si="88"/>
        <v>0</v>
      </c>
      <c r="CQ190" s="70">
        <f t="shared" si="88"/>
        <v>0</v>
      </c>
      <c r="CR190" s="70">
        <f t="shared" si="88"/>
        <v>0</v>
      </c>
      <c r="CS190" s="70">
        <f t="shared" si="88"/>
        <v>0</v>
      </c>
      <c r="CT190" s="70">
        <f t="shared" si="88"/>
        <v>0</v>
      </c>
      <c r="CU190" s="70">
        <f t="shared" si="88"/>
        <v>0</v>
      </c>
      <c r="CV190" s="70">
        <f t="shared" si="88"/>
        <v>0</v>
      </c>
      <c r="CW190" s="70">
        <f t="shared" si="88"/>
        <v>0</v>
      </c>
      <c r="CX190" s="70">
        <f t="shared" si="88"/>
        <v>0</v>
      </c>
      <c r="CY190" s="70">
        <f t="shared" si="88"/>
        <v>0</v>
      </c>
      <c r="CZ190" s="70">
        <f t="shared" si="88"/>
        <v>0</v>
      </c>
      <c r="DA190" s="70">
        <f t="shared" si="88"/>
        <v>0</v>
      </c>
      <c r="DB190" s="70">
        <f t="shared" si="88"/>
        <v>0</v>
      </c>
      <c r="DC190" s="70">
        <f t="shared" si="88"/>
        <v>0</v>
      </c>
      <c r="DD190" s="70">
        <f t="shared" si="88"/>
        <v>0</v>
      </c>
      <c r="DE190" s="70">
        <f t="shared" si="84"/>
        <v>0</v>
      </c>
      <c r="DF190" s="70">
        <f t="shared" si="85"/>
        <v>0</v>
      </c>
      <c r="DG190"/>
      <c r="DH190"/>
    </row>
    <row r="191" spans="1:112" hidden="1" x14ac:dyDescent="0.2">
      <c r="A191" s="2"/>
      <c r="B191" s="35" t="s">
        <v>113</v>
      </c>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69">
        <f t="shared" ref="AE191:BB191" si="89">AE185*inp_dc_pct_sl1*INDEX(ref_scn_cost,1)</f>
        <v>0</v>
      </c>
      <c r="AF191" s="69">
        <f t="shared" si="89"/>
        <v>0</v>
      </c>
      <c r="AG191" s="69">
        <f t="shared" si="89"/>
        <v>0</v>
      </c>
      <c r="AH191" s="69">
        <f t="shared" si="89"/>
        <v>0</v>
      </c>
      <c r="AI191" s="69">
        <f t="shared" si="89"/>
        <v>0</v>
      </c>
      <c r="AJ191" s="69">
        <f t="shared" si="89"/>
        <v>0</v>
      </c>
      <c r="AK191" s="69">
        <f t="shared" si="89"/>
        <v>0</v>
      </c>
      <c r="AL191" s="69">
        <f t="shared" si="89"/>
        <v>0</v>
      </c>
      <c r="AM191" s="69">
        <f t="shared" si="89"/>
        <v>0</v>
      </c>
      <c r="AN191" s="69">
        <f t="shared" si="89"/>
        <v>0</v>
      </c>
      <c r="AO191" s="69">
        <f t="shared" si="89"/>
        <v>0</v>
      </c>
      <c r="AP191" s="69">
        <f t="shared" si="89"/>
        <v>0</v>
      </c>
      <c r="AQ191" s="69">
        <f t="shared" si="89"/>
        <v>0</v>
      </c>
      <c r="AR191" s="69">
        <f t="shared" si="89"/>
        <v>0</v>
      </c>
      <c r="AS191" s="69">
        <f t="shared" si="89"/>
        <v>0</v>
      </c>
      <c r="AT191" s="69">
        <f t="shared" si="89"/>
        <v>0</v>
      </c>
      <c r="AU191" s="69">
        <f t="shared" si="89"/>
        <v>0</v>
      </c>
      <c r="AV191" s="69">
        <f t="shared" si="89"/>
        <v>0</v>
      </c>
      <c r="AW191" s="69">
        <f t="shared" si="89"/>
        <v>0</v>
      </c>
      <c r="AX191" s="69">
        <f t="shared" si="89"/>
        <v>0</v>
      </c>
      <c r="AY191" s="69">
        <f t="shared" si="89"/>
        <v>0</v>
      </c>
      <c r="AZ191" s="69">
        <f t="shared" si="89"/>
        <v>0</v>
      </c>
      <c r="BA191" s="69">
        <f t="shared" si="89"/>
        <v>0</v>
      </c>
      <c r="BB191" s="69">
        <f t="shared" si="89"/>
        <v>0</v>
      </c>
      <c r="BC191" s="70">
        <f t="shared" si="80"/>
        <v>0</v>
      </c>
      <c r="BD191" s="70">
        <f t="shared" si="81"/>
        <v>0</v>
      </c>
      <c r="BE191" s="2"/>
      <c r="BF191" s="69">
        <f t="shared" ref="BF191:CC191" si="90">BF185*inp_dc_pct_sl1*INDEX(ref_scn_cost,2)</f>
        <v>0</v>
      </c>
      <c r="BG191" s="69">
        <f t="shared" si="90"/>
        <v>0</v>
      </c>
      <c r="BH191" s="69">
        <f t="shared" si="90"/>
        <v>0</v>
      </c>
      <c r="BI191" s="69">
        <f t="shared" si="90"/>
        <v>0</v>
      </c>
      <c r="BJ191" s="69">
        <f t="shared" si="90"/>
        <v>0</v>
      </c>
      <c r="BK191" s="69">
        <f t="shared" si="90"/>
        <v>0</v>
      </c>
      <c r="BL191" s="69">
        <f t="shared" si="90"/>
        <v>0</v>
      </c>
      <c r="BM191" s="69">
        <f t="shared" si="90"/>
        <v>0</v>
      </c>
      <c r="BN191" s="69">
        <f t="shared" si="90"/>
        <v>0</v>
      </c>
      <c r="BO191" s="69">
        <f t="shared" si="90"/>
        <v>0</v>
      </c>
      <c r="BP191" s="69">
        <f t="shared" si="90"/>
        <v>0</v>
      </c>
      <c r="BQ191" s="69">
        <f t="shared" si="90"/>
        <v>0</v>
      </c>
      <c r="BR191" s="69">
        <f t="shared" si="90"/>
        <v>0</v>
      </c>
      <c r="BS191" s="69">
        <f t="shared" si="90"/>
        <v>0</v>
      </c>
      <c r="BT191" s="69">
        <f t="shared" si="90"/>
        <v>0</v>
      </c>
      <c r="BU191" s="69">
        <f t="shared" si="90"/>
        <v>0</v>
      </c>
      <c r="BV191" s="69">
        <f t="shared" si="90"/>
        <v>0</v>
      </c>
      <c r="BW191" s="69">
        <f t="shared" si="90"/>
        <v>0</v>
      </c>
      <c r="BX191" s="69">
        <f t="shared" si="90"/>
        <v>0</v>
      </c>
      <c r="BY191" s="69">
        <f t="shared" si="90"/>
        <v>0</v>
      </c>
      <c r="BZ191" s="69">
        <f t="shared" si="90"/>
        <v>0</v>
      </c>
      <c r="CA191" s="69">
        <f t="shared" si="90"/>
        <v>0</v>
      </c>
      <c r="CB191" s="69">
        <f t="shared" si="90"/>
        <v>0</v>
      </c>
      <c r="CC191" s="69">
        <f t="shared" si="90"/>
        <v>0</v>
      </c>
      <c r="CD191" s="70">
        <f t="shared" si="82"/>
        <v>0</v>
      </c>
      <c r="CE191" s="70">
        <f t="shared" si="83"/>
        <v>0</v>
      </c>
      <c r="CF191" s="2"/>
      <c r="CG191" s="69">
        <f t="shared" ref="CG191:DD191" si="91">CG185*inp_dc_pct_sl1*INDEX(ref_scn_cost,3)</f>
        <v>0</v>
      </c>
      <c r="CH191" s="69">
        <f t="shared" si="91"/>
        <v>0</v>
      </c>
      <c r="CI191" s="69">
        <f t="shared" si="91"/>
        <v>0</v>
      </c>
      <c r="CJ191" s="69">
        <f t="shared" si="91"/>
        <v>0</v>
      </c>
      <c r="CK191" s="69">
        <f t="shared" si="91"/>
        <v>0</v>
      </c>
      <c r="CL191" s="69">
        <f t="shared" si="91"/>
        <v>0</v>
      </c>
      <c r="CM191" s="69">
        <f t="shared" si="91"/>
        <v>0</v>
      </c>
      <c r="CN191" s="69">
        <f t="shared" si="91"/>
        <v>0</v>
      </c>
      <c r="CO191" s="69">
        <f t="shared" si="91"/>
        <v>0</v>
      </c>
      <c r="CP191" s="69">
        <f t="shared" si="91"/>
        <v>0</v>
      </c>
      <c r="CQ191" s="69">
        <f t="shared" si="91"/>
        <v>0</v>
      </c>
      <c r="CR191" s="69">
        <f t="shared" si="91"/>
        <v>0</v>
      </c>
      <c r="CS191" s="69">
        <f t="shared" si="91"/>
        <v>0</v>
      </c>
      <c r="CT191" s="69">
        <f t="shared" si="91"/>
        <v>0</v>
      </c>
      <c r="CU191" s="69">
        <f t="shared" si="91"/>
        <v>0</v>
      </c>
      <c r="CV191" s="69">
        <f t="shared" si="91"/>
        <v>0</v>
      </c>
      <c r="CW191" s="69">
        <f t="shared" si="91"/>
        <v>0</v>
      </c>
      <c r="CX191" s="69">
        <f t="shared" si="91"/>
        <v>0</v>
      </c>
      <c r="CY191" s="69">
        <f t="shared" si="91"/>
        <v>0</v>
      </c>
      <c r="CZ191" s="69">
        <f t="shared" si="91"/>
        <v>0</v>
      </c>
      <c r="DA191" s="69">
        <f t="shared" si="91"/>
        <v>0</v>
      </c>
      <c r="DB191" s="69">
        <f t="shared" si="91"/>
        <v>0</v>
      </c>
      <c r="DC191" s="69">
        <f t="shared" si="91"/>
        <v>0</v>
      </c>
      <c r="DD191" s="69">
        <f t="shared" si="91"/>
        <v>0</v>
      </c>
      <c r="DE191" s="70">
        <f t="shared" si="84"/>
        <v>0</v>
      </c>
      <c r="DF191" s="70">
        <f t="shared" si="85"/>
        <v>0</v>
      </c>
      <c r="DG191"/>
      <c r="DH191"/>
    </row>
    <row r="192" spans="1:112" hidden="1" x14ac:dyDescent="0.2">
      <c r="A192" s="2"/>
      <c r="B192" s="35" t="s">
        <v>114</v>
      </c>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69">
        <f t="shared" ref="AE192:BB192" si="92">AE186*inp_dc_pct_sl2*INDEX(ref_scn_cost,1)</f>
        <v>0</v>
      </c>
      <c r="AF192" s="69">
        <f t="shared" si="92"/>
        <v>0</v>
      </c>
      <c r="AG192" s="69">
        <f t="shared" si="92"/>
        <v>0</v>
      </c>
      <c r="AH192" s="69">
        <f t="shared" si="92"/>
        <v>0</v>
      </c>
      <c r="AI192" s="69">
        <f t="shared" si="92"/>
        <v>0</v>
      </c>
      <c r="AJ192" s="69">
        <f t="shared" si="92"/>
        <v>0</v>
      </c>
      <c r="AK192" s="69">
        <f t="shared" si="92"/>
        <v>0</v>
      </c>
      <c r="AL192" s="69">
        <f t="shared" si="92"/>
        <v>0</v>
      </c>
      <c r="AM192" s="69">
        <f t="shared" si="92"/>
        <v>0</v>
      </c>
      <c r="AN192" s="69">
        <f t="shared" si="92"/>
        <v>0</v>
      </c>
      <c r="AO192" s="69">
        <f t="shared" si="92"/>
        <v>0</v>
      </c>
      <c r="AP192" s="69">
        <f t="shared" si="92"/>
        <v>0</v>
      </c>
      <c r="AQ192" s="69">
        <f t="shared" si="92"/>
        <v>0</v>
      </c>
      <c r="AR192" s="69">
        <f t="shared" si="92"/>
        <v>0</v>
      </c>
      <c r="AS192" s="69">
        <f t="shared" si="92"/>
        <v>0</v>
      </c>
      <c r="AT192" s="69">
        <f t="shared" si="92"/>
        <v>0</v>
      </c>
      <c r="AU192" s="69">
        <f t="shared" si="92"/>
        <v>0</v>
      </c>
      <c r="AV192" s="69">
        <f t="shared" si="92"/>
        <v>0</v>
      </c>
      <c r="AW192" s="69">
        <f t="shared" si="92"/>
        <v>0</v>
      </c>
      <c r="AX192" s="69">
        <f t="shared" si="92"/>
        <v>0</v>
      </c>
      <c r="AY192" s="69">
        <f t="shared" si="92"/>
        <v>0</v>
      </c>
      <c r="AZ192" s="69">
        <f t="shared" si="92"/>
        <v>0</v>
      </c>
      <c r="BA192" s="69">
        <f t="shared" si="92"/>
        <v>0</v>
      </c>
      <c r="BB192" s="69">
        <f t="shared" si="92"/>
        <v>0</v>
      </c>
      <c r="BC192" s="70">
        <f t="shared" si="80"/>
        <v>0</v>
      </c>
      <c r="BD192" s="70">
        <f t="shared" si="81"/>
        <v>0</v>
      </c>
      <c r="BE192" s="2"/>
      <c r="BF192" s="69">
        <f t="shared" ref="BF192:CC192" si="93">BF186*inp_dc_pct_sl2*INDEX(ref_scn_cost,2)</f>
        <v>0</v>
      </c>
      <c r="BG192" s="69">
        <f t="shared" si="93"/>
        <v>0</v>
      </c>
      <c r="BH192" s="69">
        <f t="shared" si="93"/>
        <v>0</v>
      </c>
      <c r="BI192" s="69">
        <f t="shared" si="93"/>
        <v>0</v>
      </c>
      <c r="BJ192" s="69">
        <f t="shared" si="93"/>
        <v>0</v>
      </c>
      <c r="BK192" s="69">
        <f t="shared" si="93"/>
        <v>0</v>
      </c>
      <c r="BL192" s="69">
        <f t="shared" si="93"/>
        <v>0</v>
      </c>
      <c r="BM192" s="69">
        <f t="shared" si="93"/>
        <v>0</v>
      </c>
      <c r="BN192" s="69">
        <f t="shared" si="93"/>
        <v>0</v>
      </c>
      <c r="BO192" s="69">
        <f t="shared" si="93"/>
        <v>0</v>
      </c>
      <c r="BP192" s="69">
        <f t="shared" si="93"/>
        <v>0</v>
      </c>
      <c r="BQ192" s="69">
        <f t="shared" si="93"/>
        <v>0</v>
      </c>
      <c r="BR192" s="69">
        <f t="shared" si="93"/>
        <v>0</v>
      </c>
      <c r="BS192" s="69">
        <f t="shared" si="93"/>
        <v>0</v>
      </c>
      <c r="BT192" s="69">
        <f t="shared" si="93"/>
        <v>0</v>
      </c>
      <c r="BU192" s="69">
        <f t="shared" si="93"/>
        <v>0</v>
      </c>
      <c r="BV192" s="69">
        <f t="shared" si="93"/>
        <v>0</v>
      </c>
      <c r="BW192" s="69">
        <f t="shared" si="93"/>
        <v>0</v>
      </c>
      <c r="BX192" s="69">
        <f t="shared" si="93"/>
        <v>0</v>
      </c>
      <c r="BY192" s="69">
        <f t="shared" si="93"/>
        <v>0</v>
      </c>
      <c r="BZ192" s="69">
        <f t="shared" si="93"/>
        <v>0</v>
      </c>
      <c r="CA192" s="69">
        <f t="shared" si="93"/>
        <v>0</v>
      </c>
      <c r="CB192" s="69">
        <f t="shared" si="93"/>
        <v>0</v>
      </c>
      <c r="CC192" s="69">
        <f t="shared" si="93"/>
        <v>0</v>
      </c>
      <c r="CD192" s="70">
        <f t="shared" si="82"/>
        <v>0</v>
      </c>
      <c r="CE192" s="70">
        <f t="shared" si="83"/>
        <v>0</v>
      </c>
      <c r="CF192" s="2"/>
      <c r="CG192" s="69">
        <f t="shared" ref="CG192:DD192" si="94">CG186*inp_dc_pct_sl2*INDEX(ref_scn_cost,3)</f>
        <v>0</v>
      </c>
      <c r="CH192" s="69">
        <f t="shared" si="94"/>
        <v>0</v>
      </c>
      <c r="CI192" s="69">
        <f t="shared" si="94"/>
        <v>0</v>
      </c>
      <c r="CJ192" s="69">
        <f t="shared" si="94"/>
        <v>0</v>
      </c>
      <c r="CK192" s="69">
        <f t="shared" si="94"/>
        <v>0</v>
      </c>
      <c r="CL192" s="69">
        <f t="shared" si="94"/>
        <v>0</v>
      </c>
      <c r="CM192" s="69">
        <f t="shared" si="94"/>
        <v>0</v>
      </c>
      <c r="CN192" s="69">
        <f t="shared" si="94"/>
        <v>0</v>
      </c>
      <c r="CO192" s="69">
        <f t="shared" si="94"/>
        <v>0</v>
      </c>
      <c r="CP192" s="69">
        <f t="shared" si="94"/>
        <v>0</v>
      </c>
      <c r="CQ192" s="69">
        <f t="shared" si="94"/>
        <v>0</v>
      </c>
      <c r="CR192" s="69">
        <f t="shared" si="94"/>
        <v>0</v>
      </c>
      <c r="CS192" s="69">
        <f t="shared" si="94"/>
        <v>0</v>
      </c>
      <c r="CT192" s="69">
        <f t="shared" si="94"/>
        <v>0</v>
      </c>
      <c r="CU192" s="69">
        <f t="shared" si="94"/>
        <v>0</v>
      </c>
      <c r="CV192" s="69">
        <f t="shared" si="94"/>
        <v>0</v>
      </c>
      <c r="CW192" s="69">
        <f t="shared" si="94"/>
        <v>0</v>
      </c>
      <c r="CX192" s="69">
        <f t="shared" si="94"/>
        <v>0</v>
      </c>
      <c r="CY192" s="69">
        <f t="shared" si="94"/>
        <v>0</v>
      </c>
      <c r="CZ192" s="69">
        <f t="shared" si="94"/>
        <v>0</v>
      </c>
      <c r="DA192" s="69">
        <f t="shared" si="94"/>
        <v>0</v>
      </c>
      <c r="DB192" s="69">
        <f t="shared" si="94"/>
        <v>0</v>
      </c>
      <c r="DC192" s="69">
        <f t="shared" si="94"/>
        <v>0</v>
      </c>
      <c r="DD192" s="69">
        <f t="shared" si="94"/>
        <v>0</v>
      </c>
      <c r="DE192" s="70">
        <f t="shared" si="84"/>
        <v>0</v>
      </c>
      <c r="DF192" s="70">
        <f t="shared" si="85"/>
        <v>0</v>
      </c>
      <c r="DG192"/>
      <c r="DH192"/>
    </row>
    <row r="193" spans="1:112" hidden="1" x14ac:dyDescent="0.2">
      <c r="A193" s="2"/>
      <c r="B193" s="35" t="s">
        <v>115</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69">
        <f t="shared" ref="AE193:BB193" si="95">AE187*inp_dc_pct_sl3*INDEX(ref_scn_cost,1)</f>
        <v>0</v>
      </c>
      <c r="AF193" s="69">
        <f t="shared" si="95"/>
        <v>0</v>
      </c>
      <c r="AG193" s="69">
        <f t="shared" si="95"/>
        <v>0</v>
      </c>
      <c r="AH193" s="69">
        <f t="shared" si="95"/>
        <v>0</v>
      </c>
      <c r="AI193" s="69">
        <f t="shared" si="95"/>
        <v>0</v>
      </c>
      <c r="AJ193" s="69">
        <f t="shared" si="95"/>
        <v>0</v>
      </c>
      <c r="AK193" s="69">
        <f t="shared" si="95"/>
        <v>0</v>
      </c>
      <c r="AL193" s="69">
        <f t="shared" si="95"/>
        <v>0</v>
      </c>
      <c r="AM193" s="69">
        <f t="shared" si="95"/>
        <v>0</v>
      </c>
      <c r="AN193" s="69">
        <f t="shared" si="95"/>
        <v>0</v>
      </c>
      <c r="AO193" s="69">
        <f t="shared" si="95"/>
        <v>0</v>
      </c>
      <c r="AP193" s="69">
        <f t="shared" si="95"/>
        <v>0</v>
      </c>
      <c r="AQ193" s="69">
        <f t="shared" si="95"/>
        <v>0</v>
      </c>
      <c r="AR193" s="69">
        <f t="shared" si="95"/>
        <v>0</v>
      </c>
      <c r="AS193" s="69">
        <f t="shared" si="95"/>
        <v>0</v>
      </c>
      <c r="AT193" s="69">
        <f t="shared" si="95"/>
        <v>0</v>
      </c>
      <c r="AU193" s="69">
        <f t="shared" si="95"/>
        <v>0</v>
      </c>
      <c r="AV193" s="69">
        <f t="shared" si="95"/>
        <v>0</v>
      </c>
      <c r="AW193" s="69">
        <f t="shared" si="95"/>
        <v>0</v>
      </c>
      <c r="AX193" s="69">
        <f t="shared" si="95"/>
        <v>0</v>
      </c>
      <c r="AY193" s="69">
        <f t="shared" si="95"/>
        <v>0</v>
      </c>
      <c r="AZ193" s="69">
        <f t="shared" si="95"/>
        <v>0</v>
      </c>
      <c r="BA193" s="69">
        <f t="shared" si="95"/>
        <v>0</v>
      </c>
      <c r="BB193" s="69">
        <f t="shared" si="95"/>
        <v>0</v>
      </c>
      <c r="BC193" s="70">
        <f t="shared" si="80"/>
        <v>0</v>
      </c>
      <c r="BD193" s="70">
        <f t="shared" si="81"/>
        <v>0</v>
      </c>
      <c r="BE193" s="2"/>
      <c r="BF193" s="69">
        <f t="shared" ref="BF193:CC193" si="96">BF187*inp_dc_pct_sl3*INDEX(ref_scn_cost,2)</f>
        <v>0</v>
      </c>
      <c r="BG193" s="69">
        <f t="shared" si="96"/>
        <v>0</v>
      </c>
      <c r="BH193" s="69">
        <f t="shared" si="96"/>
        <v>0</v>
      </c>
      <c r="BI193" s="69">
        <f t="shared" si="96"/>
        <v>0</v>
      </c>
      <c r="BJ193" s="69">
        <f t="shared" si="96"/>
        <v>0</v>
      </c>
      <c r="BK193" s="69">
        <f t="shared" si="96"/>
        <v>0</v>
      </c>
      <c r="BL193" s="69">
        <f t="shared" si="96"/>
        <v>0</v>
      </c>
      <c r="BM193" s="69">
        <f t="shared" si="96"/>
        <v>0</v>
      </c>
      <c r="BN193" s="69">
        <f t="shared" si="96"/>
        <v>0</v>
      </c>
      <c r="BO193" s="69">
        <f t="shared" si="96"/>
        <v>0</v>
      </c>
      <c r="BP193" s="69">
        <f t="shared" si="96"/>
        <v>0</v>
      </c>
      <c r="BQ193" s="69">
        <f t="shared" si="96"/>
        <v>0</v>
      </c>
      <c r="BR193" s="69">
        <f t="shared" si="96"/>
        <v>0</v>
      </c>
      <c r="BS193" s="69">
        <f t="shared" si="96"/>
        <v>0</v>
      </c>
      <c r="BT193" s="69">
        <f t="shared" si="96"/>
        <v>0</v>
      </c>
      <c r="BU193" s="69">
        <f t="shared" si="96"/>
        <v>0</v>
      </c>
      <c r="BV193" s="69">
        <f t="shared" si="96"/>
        <v>0</v>
      </c>
      <c r="BW193" s="69">
        <f t="shared" si="96"/>
        <v>0</v>
      </c>
      <c r="BX193" s="69">
        <f t="shared" si="96"/>
        <v>0</v>
      </c>
      <c r="BY193" s="69">
        <f t="shared" si="96"/>
        <v>0</v>
      </c>
      <c r="BZ193" s="69">
        <f t="shared" si="96"/>
        <v>0</v>
      </c>
      <c r="CA193" s="69">
        <f t="shared" si="96"/>
        <v>0</v>
      </c>
      <c r="CB193" s="69">
        <f t="shared" si="96"/>
        <v>0</v>
      </c>
      <c r="CC193" s="69">
        <f t="shared" si="96"/>
        <v>0</v>
      </c>
      <c r="CD193" s="70">
        <f t="shared" si="82"/>
        <v>0</v>
      </c>
      <c r="CE193" s="70">
        <f t="shared" si="83"/>
        <v>0</v>
      </c>
      <c r="CF193" s="2"/>
      <c r="CG193" s="69">
        <f t="shared" ref="CG193:DD193" si="97">CG187*inp_dc_pct_sl3*INDEX(ref_scn_cost,3)</f>
        <v>0</v>
      </c>
      <c r="CH193" s="69">
        <f t="shared" si="97"/>
        <v>0</v>
      </c>
      <c r="CI193" s="69">
        <f t="shared" si="97"/>
        <v>0</v>
      </c>
      <c r="CJ193" s="69">
        <f t="shared" si="97"/>
        <v>0</v>
      </c>
      <c r="CK193" s="69">
        <f t="shared" si="97"/>
        <v>0</v>
      </c>
      <c r="CL193" s="69">
        <f t="shared" si="97"/>
        <v>0</v>
      </c>
      <c r="CM193" s="69">
        <f t="shared" si="97"/>
        <v>0</v>
      </c>
      <c r="CN193" s="69">
        <f t="shared" si="97"/>
        <v>0</v>
      </c>
      <c r="CO193" s="69">
        <f t="shared" si="97"/>
        <v>0</v>
      </c>
      <c r="CP193" s="69">
        <f t="shared" si="97"/>
        <v>0</v>
      </c>
      <c r="CQ193" s="69">
        <f t="shared" si="97"/>
        <v>0</v>
      </c>
      <c r="CR193" s="69">
        <f t="shared" si="97"/>
        <v>0</v>
      </c>
      <c r="CS193" s="69">
        <f t="shared" si="97"/>
        <v>0</v>
      </c>
      <c r="CT193" s="69">
        <f t="shared" si="97"/>
        <v>0</v>
      </c>
      <c r="CU193" s="69">
        <f t="shared" si="97"/>
        <v>0</v>
      </c>
      <c r="CV193" s="69">
        <f t="shared" si="97"/>
        <v>0</v>
      </c>
      <c r="CW193" s="69">
        <f t="shared" si="97"/>
        <v>0</v>
      </c>
      <c r="CX193" s="69">
        <f t="shared" si="97"/>
        <v>0</v>
      </c>
      <c r="CY193" s="69">
        <f t="shared" si="97"/>
        <v>0</v>
      </c>
      <c r="CZ193" s="69">
        <f t="shared" si="97"/>
        <v>0</v>
      </c>
      <c r="DA193" s="69">
        <f t="shared" si="97"/>
        <v>0</v>
      </c>
      <c r="DB193" s="69">
        <f t="shared" si="97"/>
        <v>0</v>
      </c>
      <c r="DC193" s="69">
        <f t="shared" si="97"/>
        <v>0</v>
      </c>
      <c r="DD193" s="69">
        <f t="shared" si="97"/>
        <v>0</v>
      </c>
      <c r="DE193" s="70">
        <f t="shared" si="84"/>
        <v>0</v>
      </c>
      <c r="DF193" s="70">
        <f t="shared" si="85"/>
        <v>0</v>
      </c>
      <c r="DG193"/>
      <c r="DH193"/>
    </row>
    <row r="194" spans="1:112" hidden="1" x14ac:dyDescent="0.2">
      <c r="A194" s="2"/>
      <c r="B194" s="35" t="s">
        <v>116</v>
      </c>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69">
        <f t="shared" ref="AE194:BB194" si="98">AE188*inp_dc_pct_sl4*INDEX(ref_scn_cost,1)</f>
        <v>0</v>
      </c>
      <c r="AF194" s="69">
        <f t="shared" si="98"/>
        <v>0</v>
      </c>
      <c r="AG194" s="69">
        <f t="shared" si="98"/>
        <v>0</v>
      </c>
      <c r="AH194" s="69">
        <f t="shared" si="98"/>
        <v>0</v>
      </c>
      <c r="AI194" s="69">
        <f t="shared" si="98"/>
        <v>0</v>
      </c>
      <c r="AJ194" s="69">
        <f t="shared" si="98"/>
        <v>0</v>
      </c>
      <c r="AK194" s="69">
        <f t="shared" si="98"/>
        <v>0</v>
      </c>
      <c r="AL194" s="69">
        <f t="shared" si="98"/>
        <v>0</v>
      </c>
      <c r="AM194" s="69">
        <f t="shared" si="98"/>
        <v>0</v>
      </c>
      <c r="AN194" s="69">
        <f t="shared" si="98"/>
        <v>0</v>
      </c>
      <c r="AO194" s="69">
        <f t="shared" si="98"/>
        <v>0</v>
      </c>
      <c r="AP194" s="69">
        <f t="shared" si="98"/>
        <v>0</v>
      </c>
      <c r="AQ194" s="69">
        <f t="shared" si="98"/>
        <v>0</v>
      </c>
      <c r="AR194" s="69">
        <f t="shared" si="98"/>
        <v>0</v>
      </c>
      <c r="AS194" s="69">
        <f t="shared" si="98"/>
        <v>0</v>
      </c>
      <c r="AT194" s="69">
        <f t="shared" si="98"/>
        <v>0</v>
      </c>
      <c r="AU194" s="69">
        <f t="shared" si="98"/>
        <v>0</v>
      </c>
      <c r="AV194" s="69">
        <f t="shared" si="98"/>
        <v>0</v>
      </c>
      <c r="AW194" s="69">
        <f t="shared" si="98"/>
        <v>0</v>
      </c>
      <c r="AX194" s="69">
        <f t="shared" si="98"/>
        <v>0</v>
      </c>
      <c r="AY194" s="69">
        <f t="shared" si="98"/>
        <v>0</v>
      </c>
      <c r="AZ194" s="69">
        <f t="shared" si="98"/>
        <v>0</v>
      </c>
      <c r="BA194" s="69">
        <f t="shared" si="98"/>
        <v>0</v>
      </c>
      <c r="BB194" s="69">
        <f t="shared" si="98"/>
        <v>0</v>
      </c>
      <c r="BC194" s="70">
        <f t="shared" si="80"/>
        <v>0</v>
      </c>
      <c r="BD194" s="70">
        <f t="shared" si="81"/>
        <v>0</v>
      </c>
      <c r="BE194" s="2"/>
      <c r="BF194" s="69">
        <f t="shared" ref="BF194:CC194" si="99">BF188*inp_dc_pct_sl4*INDEX(ref_scn_cost,2)</f>
        <v>0</v>
      </c>
      <c r="BG194" s="69">
        <f t="shared" si="99"/>
        <v>0</v>
      </c>
      <c r="BH194" s="69">
        <f t="shared" si="99"/>
        <v>0</v>
      </c>
      <c r="BI194" s="69">
        <f t="shared" si="99"/>
        <v>0</v>
      </c>
      <c r="BJ194" s="69">
        <f t="shared" si="99"/>
        <v>0</v>
      </c>
      <c r="BK194" s="69">
        <f t="shared" si="99"/>
        <v>0</v>
      </c>
      <c r="BL194" s="69">
        <f t="shared" si="99"/>
        <v>0</v>
      </c>
      <c r="BM194" s="69">
        <f t="shared" si="99"/>
        <v>0</v>
      </c>
      <c r="BN194" s="69">
        <f t="shared" si="99"/>
        <v>0</v>
      </c>
      <c r="BO194" s="69">
        <f t="shared" si="99"/>
        <v>0</v>
      </c>
      <c r="BP194" s="69">
        <f t="shared" si="99"/>
        <v>0</v>
      </c>
      <c r="BQ194" s="69">
        <f t="shared" si="99"/>
        <v>0</v>
      </c>
      <c r="BR194" s="69">
        <f t="shared" si="99"/>
        <v>0</v>
      </c>
      <c r="BS194" s="69">
        <f t="shared" si="99"/>
        <v>0</v>
      </c>
      <c r="BT194" s="69">
        <f t="shared" si="99"/>
        <v>0</v>
      </c>
      <c r="BU194" s="69">
        <f t="shared" si="99"/>
        <v>0</v>
      </c>
      <c r="BV194" s="69">
        <f t="shared" si="99"/>
        <v>0</v>
      </c>
      <c r="BW194" s="69">
        <f t="shared" si="99"/>
        <v>0</v>
      </c>
      <c r="BX194" s="69">
        <f t="shared" si="99"/>
        <v>0</v>
      </c>
      <c r="BY194" s="69">
        <f t="shared" si="99"/>
        <v>0</v>
      </c>
      <c r="BZ194" s="69">
        <f t="shared" si="99"/>
        <v>0</v>
      </c>
      <c r="CA194" s="69">
        <f t="shared" si="99"/>
        <v>0</v>
      </c>
      <c r="CB194" s="69">
        <f t="shared" si="99"/>
        <v>0</v>
      </c>
      <c r="CC194" s="69">
        <f t="shared" si="99"/>
        <v>0</v>
      </c>
      <c r="CD194" s="70">
        <f t="shared" si="82"/>
        <v>0</v>
      </c>
      <c r="CE194" s="70">
        <f t="shared" si="83"/>
        <v>0</v>
      </c>
      <c r="CF194" s="2"/>
      <c r="CG194" s="69">
        <f t="shared" ref="CG194:DD194" si="100">CG188*inp_dc_pct_sl4*INDEX(ref_scn_cost,3)</f>
        <v>0</v>
      </c>
      <c r="CH194" s="69">
        <f t="shared" si="100"/>
        <v>0</v>
      </c>
      <c r="CI194" s="69">
        <f t="shared" si="100"/>
        <v>0</v>
      </c>
      <c r="CJ194" s="69">
        <f t="shared" si="100"/>
        <v>0</v>
      </c>
      <c r="CK194" s="69">
        <f t="shared" si="100"/>
        <v>0</v>
      </c>
      <c r="CL194" s="69">
        <f t="shared" si="100"/>
        <v>0</v>
      </c>
      <c r="CM194" s="69">
        <f t="shared" si="100"/>
        <v>0</v>
      </c>
      <c r="CN194" s="69">
        <f t="shared" si="100"/>
        <v>0</v>
      </c>
      <c r="CO194" s="69">
        <f t="shared" si="100"/>
        <v>0</v>
      </c>
      <c r="CP194" s="69">
        <f t="shared" si="100"/>
        <v>0</v>
      </c>
      <c r="CQ194" s="69">
        <f t="shared" si="100"/>
        <v>0</v>
      </c>
      <c r="CR194" s="69">
        <f t="shared" si="100"/>
        <v>0</v>
      </c>
      <c r="CS194" s="69">
        <f t="shared" si="100"/>
        <v>0</v>
      </c>
      <c r="CT194" s="69">
        <f t="shared" si="100"/>
        <v>0</v>
      </c>
      <c r="CU194" s="69">
        <f t="shared" si="100"/>
        <v>0</v>
      </c>
      <c r="CV194" s="69">
        <f t="shared" si="100"/>
        <v>0</v>
      </c>
      <c r="CW194" s="69">
        <f t="shared" si="100"/>
        <v>0</v>
      </c>
      <c r="CX194" s="69">
        <f t="shared" si="100"/>
        <v>0</v>
      </c>
      <c r="CY194" s="69">
        <f t="shared" si="100"/>
        <v>0</v>
      </c>
      <c r="CZ194" s="69">
        <f t="shared" si="100"/>
        <v>0</v>
      </c>
      <c r="DA194" s="69">
        <f t="shared" si="100"/>
        <v>0</v>
      </c>
      <c r="DB194" s="69">
        <f t="shared" si="100"/>
        <v>0</v>
      </c>
      <c r="DC194" s="69">
        <f t="shared" si="100"/>
        <v>0</v>
      </c>
      <c r="DD194" s="69">
        <f t="shared" si="100"/>
        <v>0</v>
      </c>
      <c r="DE194" s="70">
        <f t="shared" si="84"/>
        <v>0</v>
      </c>
      <c r="DF194" s="70">
        <f t="shared" si="85"/>
        <v>0</v>
      </c>
      <c r="DG194"/>
      <c r="DH194"/>
    </row>
    <row r="195" spans="1:112" hidden="1" x14ac:dyDescent="0.2">
      <c r="A195" s="2"/>
      <c r="B195" s="35" t="s">
        <v>117</v>
      </c>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69">
        <f t="shared" ref="AE195:BB195" si="101">AE189*inp_dc_pct_sl5*INDEX(ref_scn_cost,1)</f>
        <v>0</v>
      </c>
      <c r="AF195" s="69">
        <f t="shared" si="101"/>
        <v>0</v>
      </c>
      <c r="AG195" s="69">
        <f t="shared" si="101"/>
        <v>0</v>
      </c>
      <c r="AH195" s="69">
        <f t="shared" si="101"/>
        <v>0</v>
      </c>
      <c r="AI195" s="69">
        <f t="shared" si="101"/>
        <v>0</v>
      </c>
      <c r="AJ195" s="69">
        <f t="shared" si="101"/>
        <v>0</v>
      </c>
      <c r="AK195" s="69">
        <f t="shared" si="101"/>
        <v>0</v>
      </c>
      <c r="AL195" s="69">
        <f t="shared" si="101"/>
        <v>0</v>
      </c>
      <c r="AM195" s="69">
        <f t="shared" si="101"/>
        <v>0</v>
      </c>
      <c r="AN195" s="69">
        <f t="shared" si="101"/>
        <v>0</v>
      </c>
      <c r="AO195" s="69">
        <f t="shared" si="101"/>
        <v>0</v>
      </c>
      <c r="AP195" s="69">
        <f t="shared" si="101"/>
        <v>0</v>
      </c>
      <c r="AQ195" s="69">
        <f t="shared" si="101"/>
        <v>0</v>
      </c>
      <c r="AR195" s="69">
        <f t="shared" si="101"/>
        <v>0</v>
      </c>
      <c r="AS195" s="69">
        <f t="shared" si="101"/>
        <v>0</v>
      </c>
      <c r="AT195" s="69">
        <f t="shared" si="101"/>
        <v>0</v>
      </c>
      <c r="AU195" s="69">
        <f t="shared" si="101"/>
        <v>0</v>
      </c>
      <c r="AV195" s="69">
        <f t="shared" si="101"/>
        <v>0</v>
      </c>
      <c r="AW195" s="69">
        <f t="shared" si="101"/>
        <v>0</v>
      </c>
      <c r="AX195" s="69">
        <f t="shared" si="101"/>
        <v>0</v>
      </c>
      <c r="AY195" s="69">
        <f t="shared" si="101"/>
        <v>0</v>
      </c>
      <c r="AZ195" s="69">
        <f t="shared" si="101"/>
        <v>0</v>
      </c>
      <c r="BA195" s="69">
        <f t="shared" si="101"/>
        <v>0</v>
      </c>
      <c r="BB195" s="69">
        <f t="shared" si="101"/>
        <v>0</v>
      </c>
      <c r="BC195" s="70">
        <f t="shared" si="80"/>
        <v>0</v>
      </c>
      <c r="BD195" s="70">
        <f t="shared" si="81"/>
        <v>0</v>
      </c>
      <c r="BE195" s="2"/>
      <c r="BF195" s="69">
        <f t="shared" ref="BF195:CC195" si="102">BF189*inp_dc_pct_sl5*INDEX(ref_scn_cost,2)</f>
        <v>0</v>
      </c>
      <c r="BG195" s="69">
        <f t="shared" si="102"/>
        <v>0</v>
      </c>
      <c r="BH195" s="69">
        <f t="shared" si="102"/>
        <v>0</v>
      </c>
      <c r="BI195" s="69">
        <f t="shared" si="102"/>
        <v>0</v>
      </c>
      <c r="BJ195" s="69">
        <f t="shared" si="102"/>
        <v>0</v>
      </c>
      <c r="BK195" s="69">
        <f t="shared" si="102"/>
        <v>0</v>
      </c>
      <c r="BL195" s="69">
        <f t="shared" si="102"/>
        <v>0</v>
      </c>
      <c r="BM195" s="69">
        <f t="shared" si="102"/>
        <v>0</v>
      </c>
      <c r="BN195" s="69">
        <f t="shared" si="102"/>
        <v>0</v>
      </c>
      <c r="BO195" s="69">
        <f t="shared" si="102"/>
        <v>0</v>
      </c>
      <c r="BP195" s="69">
        <f t="shared" si="102"/>
        <v>0</v>
      </c>
      <c r="BQ195" s="69">
        <f t="shared" si="102"/>
        <v>0</v>
      </c>
      <c r="BR195" s="69">
        <f t="shared" si="102"/>
        <v>0</v>
      </c>
      <c r="BS195" s="69">
        <f t="shared" si="102"/>
        <v>0</v>
      </c>
      <c r="BT195" s="69">
        <f t="shared" si="102"/>
        <v>0</v>
      </c>
      <c r="BU195" s="69">
        <f t="shared" si="102"/>
        <v>0</v>
      </c>
      <c r="BV195" s="69">
        <f t="shared" si="102"/>
        <v>0</v>
      </c>
      <c r="BW195" s="69">
        <f t="shared" si="102"/>
        <v>0</v>
      </c>
      <c r="BX195" s="69">
        <f t="shared" si="102"/>
        <v>0</v>
      </c>
      <c r="BY195" s="69">
        <f t="shared" si="102"/>
        <v>0</v>
      </c>
      <c r="BZ195" s="69">
        <f t="shared" si="102"/>
        <v>0</v>
      </c>
      <c r="CA195" s="69">
        <f t="shared" si="102"/>
        <v>0</v>
      </c>
      <c r="CB195" s="69">
        <f t="shared" si="102"/>
        <v>0</v>
      </c>
      <c r="CC195" s="69">
        <f t="shared" si="102"/>
        <v>0</v>
      </c>
      <c r="CD195" s="70">
        <f t="shared" si="82"/>
        <v>0</v>
      </c>
      <c r="CE195" s="70">
        <f t="shared" si="83"/>
        <v>0</v>
      </c>
      <c r="CF195" s="2"/>
      <c r="CG195" s="69">
        <f t="shared" ref="CG195:DD195" si="103">CG189*inp_dc_pct_sl5*INDEX(ref_scn_cost,3)</f>
        <v>0</v>
      </c>
      <c r="CH195" s="69">
        <f t="shared" si="103"/>
        <v>0</v>
      </c>
      <c r="CI195" s="69">
        <f t="shared" si="103"/>
        <v>0</v>
      </c>
      <c r="CJ195" s="69">
        <f t="shared" si="103"/>
        <v>0</v>
      </c>
      <c r="CK195" s="69">
        <f t="shared" si="103"/>
        <v>0</v>
      </c>
      <c r="CL195" s="69">
        <f t="shared" si="103"/>
        <v>0</v>
      </c>
      <c r="CM195" s="69">
        <f t="shared" si="103"/>
        <v>0</v>
      </c>
      <c r="CN195" s="69">
        <f t="shared" si="103"/>
        <v>0</v>
      </c>
      <c r="CO195" s="69">
        <f t="shared" si="103"/>
        <v>0</v>
      </c>
      <c r="CP195" s="69">
        <f t="shared" si="103"/>
        <v>0</v>
      </c>
      <c r="CQ195" s="69">
        <f t="shared" si="103"/>
        <v>0</v>
      </c>
      <c r="CR195" s="69">
        <f t="shared" si="103"/>
        <v>0</v>
      </c>
      <c r="CS195" s="69">
        <f t="shared" si="103"/>
        <v>0</v>
      </c>
      <c r="CT195" s="69">
        <f t="shared" si="103"/>
        <v>0</v>
      </c>
      <c r="CU195" s="69">
        <f t="shared" si="103"/>
        <v>0</v>
      </c>
      <c r="CV195" s="69">
        <f t="shared" si="103"/>
        <v>0</v>
      </c>
      <c r="CW195" s="69">
        <f t="shared" si="103"/>
        <v>0</v>
      </c>
      <c r="CX195" s="69">
        <f t="shared" si="103"/>
        <v>0</v>
      </c>
      <c r="CY195" s="69">
        <f t="shared" si="103"/>
        <v>0</v>
      </c>
      <c r="CZ195" s="69">
        <f t="shared" si="103"/>
        <v>0</v>
      </c>
      <c r="DA195" s="69">
        <f t="shared" si="103"/>
        <v>0</v>
      </c>
      <c r="DB195" s="69">
        <f t="shared" si="103"/>
        <v>0</v>
      </c>
      <c r="DC195" s="69">
        <f t="shared" si="103"/>
        <v>0</v>
      </c>
      <c r="DD195" s="69">
        <f t="shared" si="103"/>
        <v>0</v>
      </c>
      <c r="DE195" s="70">
        <f t="shared" si="84"/>
        <v>0</v>
      </c>
      <c r="DF195" s="70">
        <f t="shared" si="85"/>
        <v>0</v>
      </c>
      <c r="DG195"/>
      <c r="DH195"/>
    </row>
    <row r="196" spans="1:112" hidden="1" x14ac:dyDescent="0.2">
      <c r="A196" s="2"/>
      <c r="B196" s="35" t="s">
        <v>118</v>
      </c>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69">
        <f>INDEX(inp_dc_contractors,1)*INDEX(ref_scn_cost,1)</f>
        <v>0</v>
      </c>
      <c r="AF196" s="69">
        <f>INDEX(inp_dc_contractors,2)*INDEX(ref_scn_cost,1)</f>
        <v>0</v>
      </c>
      <c r="AG196" s="69">
        <f>INDEX(inp_dc_contractors,3)*INDEX(ref_scn_cost,1)</f>
        <v>0</v>
      </c>
      <c r="AH196" s="69">
        <f>INDEX(inp_dc_contractors,4)*INDEX(ref_scn_cost,1)</f>
        <v>0</v>
      </c>
      <c r="AI196" s="69">
        <f>INDEX(inp_dc_contractors,5)*INDEX(ref_scn_cost,1)</f>
        <v>0</v>
      </c>
      <c r="AJ196" s="69">
        <f>INDEX(inp_dc_contractors,6)*INDEX(ref_scn_cost,1)</f>
        <v>0</v>
      </c>
      <c r="AK196" s="69">
        <f>INDEX(inp_dc_contractors,7)*INDEX(ref_scn_cost,1)</f>
        <v>0</v>
      </c>
      <c r="AL196" s="69">
        <f>INDEX(inp_dc_contractors,8)*INDEX(ref_scn_cost,1)</f>
        <v>0</v>
      </c>
      <c r="AM196" s="69">
        <f>INDEX(inp_dc_contractors,9)*INDEX(ref_scn_cost,1)</f>
        <v>0</v>
      </c>
      <c r="AN196" s="69">
        <f>INDEX(inp_dc_contractors,10)*INDEX(ref_scn_cost,1)</f>
        <v>0</v>
      </c>
      <c r="AO196" s="69">
        <f>INDEX(inp_dc_contractors,11)*INDEX(ref_scn_cost,1)</f>
        <v>0</v>
      </c>
      <c r="AP196" s="69">
        <f>INDEX(inp_dc_contractors,12)*INDEX(ref_scn_cost,1)</f>
        <v>0</v>
      </c>
      <c r="AQ196" s="69">
        <f>INDEX(inp_dc_contractors,13)*INDEX(ref_scn_cost,1)</f>
        <v>0</v>
      </c>
      <c r="AR196" s="69">
        <f>INDEX(inp_dc_contractors,14)*INDEX(ref_scn_cost,1)</f>
        <v>0</v>
      </c>
      <c r="AS196" s="69">
        <f>INDEX(inp_dc_contractors,15)*INDEX(ref_scn_cost,1)</f>
        <v>0</v>
      </c>
      <c r="AT196" s="69">
        <f>INDEX(inp_dc_contractors,16)*INDEX(ref_scn_cost,1)</f>
        <v>0</v>
      </c>
      <c r="AU196" s="69">
        <f>INDEX(inp_dc_contractors,17)*INDEX(ref_scn_cost,1)</f>
        <v>0</v>
      </c>
      <c r="AV196" s="69">
        <f>INDEX(inp_dc_contractors,18)*INDEX(ref_scn_cost,1)</f>
        <v>0</v>
      </c>
      <c r="AW196" s="69">
        <f>INDEX(inp_dc_contractors,19)*INDEX(ref_scn_cost,1)</f>
        <v>0</v>
      </c>
      <c r="AX196" s="69">
        <f>INDEX(inp_dc_contractors,20)*INDEX(ref_scn_cost,1)</f>
        <v>0</v>
      </c>
      <c r="AY196" s="69">
        <f>INDEX(inp_dc_contractors,21)*INDEX(ref_scn_cost,1)</f>
        <v>0</v>
      </c>
      <c r="AZ196" s="69">
        <f>INDEX(inp_dc_contractors,22)*INDEX(ref_scn_cost,1)</f>
        <v>0</v>
      </c>
      <c r="BA196" s="69">
        <f>INDEX(inp_dc_contractors,23)*INDEX(ref_scn_cost,1)</f>
        <v>0</v>
      </c>
      <c r="BB196" s="69">
        <f>INDEX(inp_dc_contractors,24)*INDEX(ref_scn_cost,1)</f>
        <v>0</v>
      </c>
      <c r="BC196" s="70">
        <f t="shared" si="80"/>
        <v>0</v>
      </c>
      <c r="BD196" s="70">
        <f t="shared" si="81"/>
        <v>0</v>
      </c>
      <c r="BE196" s="2"/>
      <c r="BF196" s="69">
        <f>INDEX(inp_dc_contractors,1)*INDEX(ref_scn_cost,2)</f>
        <v>0</v>
      </c>
      <c r="BG196" s="69">
        <f>INDEX(inp_dc_contractors,2)*INDEX(ref_scn_cost,2)</f>
        <v>0</v>
      </c>
      <c r="BH196" s="69">
        <f>INDEX(inp_dc_contractors,3)*INDEX(ref_scn_cost,2)</f>
        <v>0</v>
      </c>
      <c r="BI196" s="69">
        <f>INDEX(inp_dc_contractors,4)*INDEX(ref_scn_cost,2)</f>
        <v>0</v>
      </c>
      <c r="BJ196" s="69">
        <f>INDEX(inp_dc_contractors,5)*INDEX(ref_scn_cost,2)</f>
        <v>0</v>
      </c>
      <c r="BK196" s="69">
        <f>INDEX(inp_dc_contractors,6)*INDEX(ref_scn_cost,2)</f>
        <v>0</v>
      </c>
      <c r="BL196" s="69">
        <f>INDEX(inp_dc_contractors,7)*INDEX(ref_scn_cost,2)</f>
        <v>0</v>
      </c>
      <c r="BM196" s="69">
        <f>INDEX(inp_dc_contractors,8)*INDEX(ref_scn_cost,2)</f>
        <v>0</v>
      </c>
      <c r="BN196" s="69">
        <f>INDEX(inp_dc_contractors,9)*INDEX(ref_scn_cost,2)</f>
        <v>0</v>
      </c>
      <c r="BO196" s="69">
        <f>INDEX(inp_dc_contractors,10)*INDEX(ref_scn_cost,2)</f>
        <v>0</v>
      </c>
      <c r="BP196" s="69">
        <f>INDEX(inp_dc_contractors,11)*INDEX(ref_scn_cost,2)</f>
        <v>0</v>
      </c>
      <c r="BQ196" s="69">
        <f>INDEX(inp_dc_contractors,12)*INDEX(ref_scn_cost,2)</f>
        <v>0</v>
      </c>
      <c r="BR196" s="69">
        <f>INDEX(inp_dc_contractors,13)*INDEX(ref_scn_cost,2)</f>
        <v>0</v>
      </c>
      <c r="BS196" s="69">
        <f>INDEX(inp_dc_contractors,14)*INDEX(ref_scn_cost,2)</f>
        <v>0</v>
      </c>
      <c r="BT196" s="69">
        <f>INDEX(inp_dc_contractors,15)*INDEX(ref_scn_cost,2)</f>
        <v>0</v>
      </c>
      <c r="BU196" s="69">
        <f>INDEX(inp_dc_contractors,16)*INDEX(ref_scn_cost,2)</f>
        <v>0</v>
      </c>
      <c r="BV196" s="69">
        <f>INDEX(inp_dc_contractors,17)*INDEX(ref_scn_cost,2)</f>
        <v>0</v>
      </c>
      <c r="BW196" s="69">
        <f>INDEX(inp_dc_contractors,18)*INDEX(ref_scn_cost,2)</f>
        <v>0</v>
      </c>
      <c r="BX196" s="69">
        <f>INDEX(inp_dc_contractors,19)*INDEX(ref_scn_cost,2)</f>
        <v>0</v>
      </c>
      <c r="BY196" s="69">
        <f>INDEX(inp_dc_contractors,20)*INDEX(ref_scn_cost,2)</f>
        <v>0</v>
      </c>
      <c r="BZ196" s="69">
        <f>INDEX(inp_dc_contractors,21)*INDEX(ref_scn_cost,2)</f>
        <v>0</v>
      </c>
      <c r="CA196" s="69">
        <f>INDEX(inp_dc_contractors,22)*INDEX(ref_scn_cost,2)</f>
        <v>0</v>
      </c>
      <c r="CB196" s="69">
        <f>INDEX(inp_dc_contractors,23)*INDEX(ref_scn_cost,2)</f>
        <v>0</v>
      </c>
      <c r="CC196" s="69">
        <f>INDEX(inp_dc_contractors,24)*INDEX(ref_scn_cost,2)</f>
        <v>0</v>
      </c>
      <c r="CD196" s="70">
        <f t="shared" si="82"/>
        <v>0</v>
      </c>
      <c r="CE196" s="70">
        <f t="shared" si="83"/>
        <v>0</v>
      </c>
      <c r="CF196" s="2"/>
      <c r="CG196" s="69">
        <f>INDEX(inp_dc_contractors,1)*INDEX(ref_scn_cost,3)</f>
        <v>0</v>
      </c>
      <c r="CH196" s="69">
        <f>INDEX(inp_dc_contractors,2)*INDEX(ref_scn_cost,3)</f>
        <v>0</v>
      </c>
      <c r="CI196" s="69">
        <f>INDEX(inp_dc_contractors,3)*INDEX(ref_scn_cost,3)</f>
        <v>0</v>
      </c>
      <c r="CJ196" s="69">
        <f>INDEX(inp_dc_contractors,4)*INDEX(ref_scn_cost,3)</f>
        <v>0</v>
      </c>
      <c r="CK196" s="69">
        <f>INDEX(inp_dc_contractors,5)*INDEX(ref_scn_cost,3)</f>
        <v>0</v>
      </c>
      <c r="CL196" s="69">
        <f>INDEX(inp_dc_contractors,6)*INDEX(ref_scn_cost,3)</f>
        <v>0</v>
      </c>
      <c r="CM196" s="69">
        <f>INDEX(inp_dc_contractors,7)*INDEX(ref_scn_cost,3)</f>
        <v>0</v>
      </c>
      <c r="CN196" s="69">
        <f>INDEX(inp_dc_contractors,8)*INDEX(ref_scn_cost,3)</f>
        <v>0</v>
      </c>
      <c r="CO196" s="69">
        <f>INDEX(inp_dc_contractors,9)*INDEX(ref_scn_cost,3)</f>
        <v>0</v>
      </c>
      <c r="CP196" s="69">
        <f>INDEX(inp_dc_contractors,10)*INDEX(ref_scn_cost,3)</f>
        <v>0</v>
      </c>
      <c r="CQ196" s="69">
        <f>INDEX(inp_dc_contractors,11)*INDEX(ref_scn_cost,3)</f>
        <v>0</v>
      </c>
      <c r="CR196" s="69">
        <f>INDEX(inp_dc_contractors,12)*INDEX(ref_scn_cost,3)</f>
        <v>0</v>
      </c>
      <c r="CS196" s="69">
        <f>INDEX(inp_dc_contractors,13)*INDEX(ref_scn_cost,3)</f>
        <v>0</v>
      </c>
      <c r="CT196" s="69">
        <f>INDEX(inp_dc_contractors,14)*INDEX(ref_scn_cost,3)</f>
        <v>0</v>
      </c>
      <c r="CU196" s="69">
        <f>INDEX(inp_dc_contractors,15)*INDEX(ref_scn_cost,3)</f>
        <v>0</v>
      </c>
      <c r="CV196" s="69">
        <f>INDEX(inp_dc_contractors,16)*INDEX(ref_scn_cost,3)</f>
        <v>0</v>
      </c>
      <c r="CW196" s="69">
        <f>INDEX(inp_dc_contractors,17)*INDEX(ref_scn_cost,3)</f>
        <v>0</v>
      </c>
      <c r="CX196" s="69">
        <f>INDEX(inp_dc_contractors,18)*INDEX(ref_scn_cost,3)</f>
        <v>0</v>
      </c>
      <c r="CY196" s="69">
        <f>INDEX(inp_dc_contractors,19)*INDEX(ref_scn_cost,3)</f>
        <v>0</v>
      </c>
      <c r="CZ196" s="69">
        <f>INDEX(inp_dc_contractors,20)*INDEX(ref_scn_cost,3)</f>
        <v>0</v>
      </c>
      <c r="DA196" s="69">
        <f>INDEX(inp_dc_contractors,21)*INDEX(ref_scn_cost,3)</f>
        <v>0</v>
      </c>
      <c r="DB196" s="69">
        <f>INDEX(inp_dc_contractors,22)*INDEX(ref_scn_cost,3)</f>
        <v>0</v>
      </c>
      <c r="DC196" s="69">
        <f>INDEX(inp_dc_contractors,23)*INDEX(ref_scn_cost,3)</f>
        <v>0</v>
      </c>
      <c r="DD196" s="69">
        <f>INDEX(inp_dc_contractors,24)*INDEX(ref_scn_cost,3)</f>
        <v>0</v>
      </c>
      <c r="DE196" s="70">
        <f t="shared" si="84"/>
        <v>0</v>
      </c>
      <c r="DF196" s="70">
        <f t="shared" si="85"/>
        <v>0</v>
      </c>
      <c r="DG196"/>
      <c r="DH196"/>
    </row>
    <row r="197" spans="1:112" hidden="1" x14ac:dyDescent="0.2">
      <c r="A197" s="2"/>
      <c r="B197" s="35" t="s">
        <v>119</v>
      </c>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69">
        <f>INDEX(inp_dc_tools,1)*INDEX(ref_scn_cost,1)</f>
        <v>0</v>
      </c>
      <c r="AF197" s="69">
        <f>INDEX(inp_dc_tools,2)*INDEX(ref_scn_cost,1)</f>
        <v>0</v>
      </c>
      <c r="AG197" s="69">
        <f>INDEX(inp_dc_tools,3)*INDEX(ref_scn_cost,1)</f>
        <v>0</v>
      </c>
      <c r="AH197" s="69">
        <f>INDEX(inp_dc_tools,4)*INDEX(ref_scn_cost,1)</f>
        <v>0</v>
      </c>
      <c r="AI197" s="69">
        <f>INDEX(inp_dc_tools,5)*INDEX(ref_scn_cost,1)</f>
        <v>0</v>
      </c>
      <c r="AJ197" s="69">
        <f>INDEX(inp_dc_tools,6)*INDEX(ref_scn_cost,1)</f>
        <v>0</v>
      </c>
      <c r="AK197" s="69">
        <f>INDEX(inp_dc_tools,7)*INDEX(ref_scn_cost,1)</f>
        <v>0</v>
      </c>
      <c r="AL197" s="69">
        <f>INDEX(inp_dc_tools,8)*INDEX(ref_scn_cost,1)</f>
        <v>0</v>
      </c>
      <c r="AM197" s="69">
        <f>INDEX(inp_dc_tools,9)*INDEX(ref_scn_cost,1)</f>
        <v>0</v>
      </c>
      <c r="AN197" s="69">
        <f>INDEX(inp_dc_tools,10)*INDEX(ref_scn_cost,1)</f>
        <v>0</v>
      </c>
      <c r="AO197" s="69">
        <f>INDEX(inp_dc_tools,11)*INDEX(ref_scn_cost,1)</f>
        <v>0</v>
      </c>
      <c r="AP197" s="69">
        <f>INDEX(inp_dc_tools,12)*INDEX(ref_scn_cost,1)</f>
        <v>0</v>
      </c>
      <c r="AQ197" s="69">
        <f>INDEX(inp_dc_tools,13)*INDEX(ref_scn_cost,1)</f>
        <v>0</v>
      </c>
      <c r="AR197" s="69">
        <f>INDEX(inp_dc_tools,14)*INDEX(ref_scn_cost,1)</f>
        <v>0</v>
      </c>
      <c r="AS197" s="69">
        <f>INDEX(inp_dc_tools,15)*INDEX(ref_scn_cost,1)</f>
        <v>0</v>
      </c>
      <c r="AT197" s="69">
        <f>INDEX(inp_dc_tools,16)*INDEX(ref_scn_cost,1)</f>
        <v>0</v>
      </c>
      <c r="AU197" s="69">
        <f>INDEX(inp_dc_tools,17)*INDEX(ref_scn_cost,1)</f>
        <v>0</v>
      </c>
      <c r="AV197" s="69">
        <f>INDEX(inp_dc_tools,18)*INDEX(ref_scn_cost,1)</f>
        <v>0</v>
      </c>
      <c r="AW197" s="69">
        <f>INDEX(inp_dc_tools,19)*INDEX(ref_scn_cost,1)</f>
        <v>0</v>
      </c>
      <c r="AX197" s="69">
        <f>INDEX(inp_dc_tools,20)*INDEX(ref_scn_cost,1)</f>
        <v>0</v>
      </c>
      <c r="AY197" s="69">
        <f>INDEX(inp_dc_tools,21)*INDEX(ref_scn_cost,1)</f>
        <v>0</v>
      </c>
      <c r="AZ197" s="69">
        <f>INDEX(inp_dc_tools,22)*INDEX(ref_scn_cost,1)</f>
        <v>0</v>
      </c>
      <c r="BA197" s="69">
        <f>INDEX(inp_dc_tools,23)*INDEX(ref_scn_cost,1)</f>
        <v>0</v>
      </c>
      <c r="BB197" s="69">
        <f>INDEX(inp_dc_tools,24)*INDEX(ref_scn_cost,1)</f>
        <v>0</v>
      </c>
      <c r="BC197" s="70">
        <f t="shared" si="80"/>
        <v>0</v>
      </c>
      <c r="BD197" s="70">
        <f t="shared" si="81"/>
        <v>0</v>
      </c>
      <c r="BE197" s="2"/>
      <c r="BF197" s="69">
        <f>INDEX(inp_dc_tools,1)*INDEX(ref_scn_cost,2)</f>
        <v>0</v>
      </c>
      <c r="BG197" s="69">
        <f>INDEX(inp_dc_tools,2)*INDEX(ref_scn_cost,2)</f>
        <v>0</v>
      </c>
      <c r="BH197" s="69">
        <f>INDEX(inp_dc_tools,3)*INDEX(ref_scn_cost,2)</f>
        <v>0</v>
      </c>
      <c r="BI197" s="69">
        <f>INDEX(inp_dc_tools,4)*INDEX(ref_scn_cost,2)</f>
        <v>0</v>
      </c>
      <c r="BJ197" s="69">
        <f>INDEX(inp_dc_tools,5)*INDEX(ref_scn_cost,2)</f>
        <v>0</v>
      </c>
      <c r="BK197" s="69">
        <f>INDEX(inp_dc_tools,6)*INDEX(ref_scn_cost,2)</f>
        <v>0</v>
      </c>
      <c r="BL197" s="69">
        <f>INDEX(inp_dc_tools,7)*INDEX(ref_scn_cost,2)</f>
        <v>0</v>
      </c>
      <c r="BM197" s="69">
        <f>INDEX(inp_dc_tools,8)*INDEX(ref_scn_cost,2)</f>
        <v>0</v>
      </c>
      <c r="BN197" s="69">
        <f>INDEX(inp_dc_tools,9)*INDEX(ref_scn_cost,2)</f>
        <v>0</v>
      </c>
      <c r="BO197" s="69">
        <f>INDEX(inp_dc_tools,10)*INDEX(ref_scn_cost,2)</f>
        <v>0</v>
      </c>
      <c r="BP197" s="69">
        <f>INDEX(inp_dc_tools,11)*INDEX(ref_scn_cost,2)</f>
        <v>0</v>
      </c>
      <c r="BQ197" s="69">
        <f>INDEX(inp_dc_tools,12)*INDEX(ref_scn_cost,2)</f>
        <v>0</v>
      </c>
      <c r="BR197" s="69">
        <f>INDEX(inp_dc_tools,13)*INDEX(ref_scn_cost,2)</f>
        <v>0</v>
      </c>
      <c r="BS197" s="69">
        <f>INDEX(inp_dc_tools,14)*INDEX(ref_scn_cost,2)</f>
        <v>0</v>
      </c>
      <c r="BT197" s="69">
        <f>INDEX(inp_dc_tools,15)*INDEX(ref_scn_cost,2)</f>
        <v>0</v>
      </c>
      <c r="BU197" s="69">
        <f>INDEX(inp_dc_tools,16)*INDEX(ref_scn_cost,2)</f>
        <v>0</v>
      </c>
      <c r="BV197" s="69">
        <f>INDEX(inp_dc_tools,17)*INDEX(ref_scn_cost,2)</f>
        <v>0</v>
      </c>
      <c r="BW197" s="69">
        <f>INDEX(inp_dc_tools,18)*INDEX(ref_scn_cost,2)</f>
        <v>0</v>
      </c>
      <c r="BX197" s="69">
        <f>INDEX(inp_dc_tools,19)*INDEX(ref_scn_cost,2)</f>
        <v>0</v>
      </c>
      <c r="BY197" s="69">
        <f>INDEX(inp_dc_tools,20)*INDEX(ref_scn_cost,2)</f>
        <v>0</v>
      </c>
      <c r="BZ197" s="69">
        <f>INDEX(inp_dc_tools,21)*INDEX(ref_scn_cost,2)</f>
        <v>0</v>
      </c>
      <c r="CA197" s="69">
        <f>INDEX(inp_dc_tools,22)*INDEX(ref_scn_cost,2)</f>
        <v>0</v>
      </c>
      <c r="CB197" s="69">
        <f>INDEX(inp_dc_tools,23)*INDEX(ref_scn_cost,2)</f>
        <v>0</v>
      </c>
      <c r="CC197" s="69">
        <f>INDEX(inp_dc_tools,24)*INDEX(ref_scn_cost,2)</f>
        <v>0</v>
      </c>
      <c r="CD197" s="70">
        <f t="shared" si="82"/>
        <v>0</v>
      </c>
      <c r="CE197" s="70">
        <f t="shared" si="83"/>
        <v>0</v>
      </c>
      <c r="CF197" s="2"/>
      <c r="CG197" s="69">
        <f>INDEX(inp_dc_tools,1)*INDEX(ref_scn_cost,3)</f>
        <v>0</v>
      </c>
      <c r="CH197" s="69">
        <f>INDEX(inp_dc_tools,2)*INDEX(ref_scn_cost,3)</f>
        <v>0</v>
      </c>
      <c r="CI197" s="69">
        <f>INDEX(inp_dc_tools,3)*INDEX(ref_scn_cost,3)</f>
        <v>0</v>
      </c>
      <c r="CJ197" s="69">
        <f>INDEX(inp_dc_tools,4)*INDEX(ref_scn_cost,3)</f>
        <v>0</v>
      </c>
      <c r="CK197" s="69">
        <f>INDEX(inp_dc_tools,5)*INDEX(ref_scn_cost,3)</f>
        <v>0</v>
      </c>
      <c r="CL197" s="69">
        <f>INDEX(inp_dc_tools,6)*INDEX(ref_scn_cost,3)</f>
        <v>0</v>
      </c>
      <c r="CM197" s="69">
        <f>INDEX(inp_dc_tools,7)*INDEX(ref_scn_cost,3)</f>
        <v>0</v>
      </c>
      <c r="CN197" s="69">
        <f>INDEX(inp_dc_tools,8)*INDEX(ref_scn_cost,3)</f>
        <v>0</v>
      </c>
      <c r="CO197" s="69">
        <f>INDEX(inp_dc_tools,9)*INDEX(ref_scn_cost,3)</f>
        <v>0</v>
      </c>
      <c r="CP197" s="69">
        <f>INDEX(inp_dc_tools,10)*INDEX(ref_scn_cost,3)</f>
        <v>0</v>
      </c>
      <c r="CQ197" s="69">
        <f>INDEX(inp_dc_tools,11)*INDEX(ref_scn_cost,3)</f>
        <v>0</v>
      </c>
      <c r="CR197" s="69">
        <f>INDEX(inp_dc_tools,12)*INDEX(ref_scn_cost,3)</f>
        <v>0</v>
      </c>
      <c r="CS197" s="69">
        <f>INDEX(inp_dc_tools,13)*INDEX(ref_scn_cost,3)</f>
        <v>0</v>
      </c>
      <c r="CT197" s="69">
        <f>INDEX(inp_dc_tools,14)*INDEX(ref_scn_cost,3)</f>
        <v>0</v>
      </c>
      <c r="CU197" s="69">
        <f>INDEX(inp_dc_tools,15)*INDEX(ref_scn_cost,3)</f>
        <v>0</v>
      </c>
      <c r="CV197" s="69">
        <f>INDEX(inp_dc_tools,16)*INDEX(ref_scn_cost,3)</f>
        <v>0</v>
      </c>
      <c r="CW197" s="69">
        <f>INDEX(inp_dc_tools,17)*INDEX(ref_scn_cost,3)</f>
        <v>0</v>
      </c>
      <c r="CX197" s="69">
        <f>INDEX(inp_dc_tools,18)*INDEX(ref_scn_cost,3)</f>
        <v>0</v>
      </c>
      <c r="CY197" s="69">
        <f>INDEX(inp_dc_tools,19)*INDEX(ref_scn_cost,3)</f>
        <v>0</v>
      </c>
      <c r="CZ197" s="69">
        <f>INDEX(inp_dc_tools,20)*INDEX(ref_scn_cost,3)</f>
        <v>0</v>
      </c>
      <c r="DA197" s="69">
        <f>INDEX(inp_dc_tools,21)*INDEX(ref_scn_cost,3)</f>
        <v>0</v>
      </c>
      <c r="DB197" s="69">
        <f>INDEX(inp_dc_tools,22)*INDEX(ref_scn_cost,3)</f>
        <v>0</v>
      </c>
      <c r="DC197" s="69">
        <f>INDEX(inp_dc_tools,23)*INDEX(ref_scn_cost,3)</f>
        <v>0</v>
      </c>
      <c r="DD197" s="69">
        <f>INDEX(inp_dc_tools,24)*INDEX(ref_scn_cost,3)</f>
        <v>0</v>
      </c>
      <c r="DE197" s="70">
        <f t="shared" si="84"/>
        <v>0</v>
      </c>
      <c r="DF197" s="70">
        <f t="shared" si="85"/>
        <v>0</v>
      </c>
      <c r="DG197"/>
      <c r="DH197"/>
    </row>
    <row r="198" spans="1:112" hidden="1" x14ac:dyDescent="0.2">
      <c r="A198" s="2"/>
      <c r="B198" s="35" t="s">
        <v>120</v>
      </c>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69">
        <f>INDEX(inp_dc_passthrough,1)*INDEX(ref_scn_cost,1)</f>
        <v>0</v>
      </c>
      <c r="AF198" s="69">
        <f>INDEX(inp_dc_passthrough,2)*INDEX(ref_scn_cost,1)</f>
        <v>0</v>
      </c>
      <c r="AG198" s="69">
        <f>INDEX(inp_dc_passthrough,3)*INDEX(ref_scn_cost,1)</f>
        <v>0</v>
      </c>
      <c r="AH198" s="69">
        <f>INDEX(inp_dc_passthrough,4)*INDEX(ref_scn_cost,1)</f>
        <v>0</v>
      </c>
      <c r="AI198" s="69">
        <f>INDEX(inp_dc_passthrough,5)*INDEX(ref_scn_cost,1)</f>
        <v>0</v>
      </c>
      <c r="AJ198" s="69">
        <f>INDEX(inp_dc_passthrough,6)*INDEX(ref_scn_cost,1)</f>
        <v>0</v>
      </c>
      <c r="AK198" s="69">
        <f>INDEX(inp_dc_passthrough,7)*INDEX(ref_scn_cost,1)</f>
        <v>0</v>
      </c>
      <c r="AL198" s="69">
        <f>INDEX(inp_dc_passthrough,8)*INDEX(ref_scn_cost,1)</f>
        <v>0</v>
      </c>
      <c r="AM198" s="69">
        <f>INDEX(inp_dc_passthrough,9)*INDEX(ref_scn_cost,1)</f>
        <v>0</v>
      </c>
      <c r="AN198" s="69">
        <f>INDEX(inp_dc_passthrough,10)*INDEX(ref_scn_cost,1)</f>
        <v>0</v>
      </c>
      <c r="AO198" s="69">
        <f>INDEX(inp_dc_passthrough,11)*INDEX(ref_scn_cost,1)</f>
        <v>0</v>
      </c>
      <c r="AP198" s="69">
        <f>INDEX(inp_dc_passthrough,12)*INDEX(ref_scn_cost,1)</f>
        <v>0</v>
      </c>
      <c r="AQ198" s="69">
        <f>INDEX(inp_dc_passthrough,13)*INDEX(ref_scn_cost,1)</f>
        <v>0</v>
      </c>
      <c r="AR198" s="69">
        <f>INDEX(inp_dc_passthrough,14)*INDEX(ref_scn_cost,1)</f>
        <v>0</v>
      </c>
      <c r="AS198" s="69">
        <f>INDEX(inp_dc_passthrough,15)*INDEX(ref_scn_cost,1)</f>
        <v>0</v>
      </c>
      <c r="AT198" s="69">
        <f>INDEX(inp_dc_passthrough,16)*INDEX(ref_scn_cost,1)</f>
        <v>0</v>
      </c>
      <c r="AU198" s="69">
        <f>INDEX(inp_dc_passthrough,17)*INDEX(ref_scn_cost,1)</f>
        <v>0</v>
      </c>
      <c r="AV198" s="69">
        <f>INDEX(inp_dc_passthrough,18)*INDEX(ref_scn_cost,1)</f>
        <v>0</v>
      </c>
      <c r="AW198" s="69">
        <f>INDEX(inp_dc_passthrough,19)*INDEX(ref_scn_cost,1)</f>
        <v>0</v>
      </c>
      <c r="AX198" s="69">
        <f>INDEX(inp_dc_passthrough,20)*INDEX(ref_scn_cost,1)</f>
        <v>0</v>
      </c>
      <c r="AY198" s="69">
        <f>INDEX(inp_dc_passthrough,21)*INDEX(ref_scn_cost,1)</f>
        <v>0</v>
      </c>
      <c r="AZ198" s="69">
        <f>INDEX(inp_dc_passthrough,22)*INDEX(ref_scn_cost,1)</f>
        <v>0</v>
      </c>
      <c r="BA198" s="69">
        <f>INDEX(inp_dc_passthrough,23)*INDEX(ref_scn_cost,1)</f>
        <v>0</v>
      </c>
      <c r="BB198" s="69">
        <f>INDEX(inp_dc_passthrough,24)*INDEX(ref_scn_cost,1)</f>
        <v>0</v>
      </c>
      <c r="BC198" s="70">
        <f t="shared" si="80"/>
        <v>0</v>
      </c>
      <c r="BD198" s="70">
        <f t="shared" si="81"/>
        <v>0</v>
      </c>
      <c r="BE198" s="2"/>
      <c r="BF198" s="69">
        <f>INDEX(inp_dc_passthrough,1)*INDEX(ref_scn_cost,2)</f>
        <v>0</v>
      </c>
      <c r="BG198" s="69">
        <f>INDEX(inp_dc_passthrough,2)*INDEX(ref_scn_cost,2)</f>
        <v>0</v>
      </c>
      <c r="BH198" s="69">
        <f>INDEX(inp_dc_passthrough,3)*INDEX(ref_scn_cost,2)</f>
        <v>0</v>
      </c>
      <c r="BI198" s="69">
        <f>INDEX(inp_dc_passthrough,4)*INDEX(ref_scn_cost,2)</f>
        <v>0</v>
      </c>
      <c r="BJ198" s="69">
        <f>INDEX(inp_dc_passthrough,5)*INDEX(ref_scn_cost,2)</f>
        <v>0</v>
      </c>
      <c r="BK198" s="69">
        <f>INDEX(inp_dc_passthrough,6)*INDEX(ref_scn_cost,2)</f>
        <v>0</v>
      </c>
      <c r="BL198" s="69">
        <f>INDEX(inp_dc_passthrough,7)*INDEX(ref_scn_cost,2)</f>
        <v>0</v>
      </c>
      <c r="BM198" s="69">
        <f>INDEX(inp_dc_passthrough,8)*INDEX(ref_scn_cost,2)</f>
        <v>0</v>
      </c>
      <c r="BN198" s="69">
        <f>INDEX(inp_dc_passthrough,9)*INDEX(ref_scn_cost,2)</f>
        <v>0</v>
      </c>
      <c r="BO198" s="69">
        <f>INDEX(inp_dc_passthrough,10)*INDEX(ref_scn_cost,2)</f>
        <v>0</v>
      </c>
      <c r="BP198" s="69">
        <f>INDEX(inp_dc_passthrough,11)*INDEX(ref_scn_cost,2)</f>
        <v>0</v>
      </c>
      <c r="BQ198" s="69">
        <f>INDEX(inp_dc_passthrough,12)*INDEX(ref_scn_cost,2)</f>
        <v>0</v>
      </c>
      <c r="BR198" s="69">
        <f>INDEX(inp_dc_passthrough,13)*INDEX(ref_scn_cost,2)</f>
        <v>0</v>
      </c>
      <c r="BS198" s="69">
        <f>INDEX(inp_dc_passthrough,14)*INDEX(ref_scn_cost,2)</f>
        <v>0</v>
      </c>
      <c r="BT198" s="69">
        <f>INDEX(inp_dc_passthrough,15)*INDEX(ref_scn_cost,2)</f>
        <v>0</v>
      </c>
      <c r="BU198" s="69">
        <f>INDEX(inp_dc_passthrough,16)*INDEX(ref_scn_cost,2)</f>
        <v>0</v>
      </c>
      <c r="BV198" s="69">
        <f>INDEX(inp_dc_passthrough,17)*INDEX(ref_scn_cost,2)</f>
        <v>0</v>
      </c>
      <c r="BW198" s="69">
        <f>INDEX(inp_dc_passthrough,18)*INDEX(ref_scn_cost,2)</f>
        <v>0</v>
      </c>
      <c r="BX198" s="69">
        <f>INDEX(inp_dc_passthrough,19)*INDEX(ref_scn_cost,2)</f>
        <v>0</v>
      </c>
      <c r="BY198" s="69">
        <f>INDEX(inp_dc_passthrough,20)*INDEX(ref_scn_cost,2)</f>
        <v>0</v>
      </c>
      <c r="BZ198" s="69">
        <f>INDEX(inp_dc_passthrough,21)*INDEX(ref_scn_cost,2)</f>
        <v>0</v>
      </c>
      <c r="CA198" s="69">
        <f>INDEX(inp_dc_passthrough,22)*INDEX(ref_scn_cost,2)</f>
        <v>0</v>
      </c>
      <c r="CB198" s="69">
        <f>INDEX(inp_dc_passthrough,23)*INDEX(ref_scn_cost,2)</f>
        <v>0</v>
      </c>
      <c r="CC198" s="69">
        <f>INDEX(inp_dc_passthrough,24)*INDEX(ref_scn_cost,2)</f>
        <v>0</v>
      </c>
      <c r="CD198" s="70">
        <f t="shared" si="82"/>
        <v>0</v>
      </c>
      <c r="CE198" s="70">
        <f t="shared" si="83"/>
        <v>0</v>
      </c>
      <c r="CF198" s="2"/>
      <c r="CG198" s="69">
        <f>INDEX(inp_dc_passthrough,1)*INDEX(ref_scn_cost,3)</f>
        <v>0</v>
      </c>
      <c r="CH198" s="69">
        <f>INDEX(inp_dc_passthrough,2)*INDEX(ref_scn_cost,3)</f>
        <v>0</v>
      </c>
      <c r="CI198" s="69">
        <f>INDEX(inp_dc_passthrough,3)*INDEX(ref_scn_cost,3)</f>
        <v>0</v>
      </c>
      <c r="CJ198" s="69">
        <f>INDEX(inp_dc_passthrough,4)*INDEX(ref_scn_cost,3)</f>
        <v>0</v>
      </c>
      <c r="CK198" s="69">
        <f>INDEX(inp_dc_passthrough,5)*INDEX(ref_scn_cost,3)</f>
        <v>0</v>
      </c>
      <c r="CL198" s="69">
        <f>INDEX(inp_dc_passthrough,6)*INDEX(ref_scn_cost,3)</f>
        <v>0</v>
      </c>
      <c r="CM198" s="69">
        <f>INDEX(inp_dc_passthrough,7)*INDEX(ref_scn_cost,3)</f>
        <v>0</v>
      </c>
      <c r="CN198" s="69">
        <f>INDEX(inp_dc_passthrough,8)*INDEX(ref_scn_cost,3)</f>
        <v>0</v>
      </c>
      <c r="CO198" s="69">
        <f>INDEX(inp_dc_passthrough,9)*INDEX(ref_scn_cost,3)</f>
        <v>0</v>
      </c>
      <c r="CP198" s="69">
        <f>INDEX(inp_dc_passthrough,10)*INDEX(ref_scn_cost,3)</f>
        <v>0</v>
      </c>
      <c r="CQ198" s="69">
        <f>INDEX(inp_dc_passthrough,11)*INDEX(ref_scn_cost,3)</f>
        <v>0</v>
      </c>
      <c r="CR198" s="69">
        <f>INDEX(inp_dc_passthrough,12)*INDEX(ref_scn_cost,3)</f>
        <v>0</v>
      </c>
      <c r="CS198" s="69">
        <f>INDEX(inp_dc_passthrough,13)*INDEX(ref_scn_cost,3)</f>
        <v>0</v>
      </c>
      <c r="CT198" s="69">
        <f>INDEX(inp_dc_passthrough,14)*INDEX(ref_scn_cost,3)</f>
        <v>0</v>
      </c>
      <c r="CU198" s="69">
        <f>INDEX(inp_dc_passthrough,15)*INDEX(ref_scn_cost,3)</f>
        <v>0</v>
      </c>
      <c r="CV198" s="69">
        <f>INDEX(inp_dc_passthrough,16)*INDEX(ref_scn_cost,3)</f>
        <v>0</v>
      </c>
      <c r="CW198" s="69">
        <f>INDEX(inp_dc_passthrough,17)*INDEX(ref_scn_cost,3)</f>
        <v>0</v>
      </c>
      <c r="CX198" s="69">
        <f>INDEX(inp_dc_passthrough,18)*INDEX(ref_scn_cost,3)</f>
        <v>0</v>
      </c>
      <c r="CY198" s="69">
        <f>INDEX(inp_dc_passthrough,19)*INDEX(ref_scn_cost,3)</f>
        <v>0</v>
      </c>
      <c r="CZ198" s="69">
        <f>INDEX(inp_dc_passthrough,20)*INDEX(ref_scn_cost,3)</f>
        <v>0</v>
      </c>
      <c r="DA198" s="69">
        <f>INDEX(inp_dc_passthrough,21)*INDEX(ref_scn_cost,3)</f>
        <v>0</v>
      </c>
      <c r="DB198" s="69">
        <f>INDEX(inp_dc_passthrough,22)*INDEX(ref_scn_cost,3)</f>
        <v>0</v>
      </c>
      <c r="DC198" s="69">
        <f>INDEX(inp_dc_passthrough,23)*INDEX(ref_scn_cost,3)</f>
        <v>0</v>
      </c>
      <c r="DD198" s="69">
        <f>INDEX(inp_dc_passthrough,24)*INDEX(ref_scn_cost,3)</f>
        <v>0</v>
      </c>
      <c r="DE198" s="70">
        <f t="shared" si="84"/>
        <v>0</v>
      </c>
      <c r="DF198" s="70">
        <f t="shared" si="85"/>
        <v>0</v>
      </c>
      <c r="DG198"/>
      <c r="DH198"/>
    </row>
    <row r="199" spans="1:112" hidden="1" x14ac:dyDescent="0.2">
      <c r="A199" s="2"/>
      <c r="B199" s="35" t="s">
        <v>121</v>
      </c>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69">
        <f>INDEX(inp_dc_other,1)*INDEX(ref_scn_cost,1)</f>
        <v>0</v>
      </c>
      <c r="AF199" s="69">
        <f>INDEX(inp_dc_other,2)*INDEX(ref_scn_cost,1)</f>
        <v>0</v>
      </c>
      <c r="AG199" s="69">
        <f>INDEX(inp_dc_other,3)*INDEX(ref_scn_cost,1)</f>
        <v>0</v>
      </c>
      <c r="AH199" s="69">
        <f>INDEX(inp_dc_other,4)*INDEX(ref_scn_cost,1)</f>
        <v>0</v>
      </c>
      <c r="AI199" s="69">
        <f>INDEX(inp_dc_other,5)*INDEX(ref_scn_cost,1)</f>
        <v>0</v>
      </c>
      <c r="AJ199" s="69">
        <f>INDEX(inp_dc_other,6)*INDEX(ref_scn_cost,1)</f>
        <v>0</v>
      </c>
      <c r="AK199" s="69">
        <f>INDEX(inp_dc_other,7)*INDEX(ref_scn_cost,1)</f>
        <v>0</v>
      </c>
      <c r="AL199" s="69">
        <f>INDEX(inp_dc_other,8)*INDEX(ref_scn_cost,1)</f>
        <v>0</v>
      </c>
      <c r="AM199" s="69">
        <f>INDEX(inp_dc_other,9)*INDEX(ref_scn_cost,1)</f>
        <v>0</v>
      </c>
      <c r="AN199" s="69">
        <f>INDEX(inp_dc_other,10)*INDEX(ref_scn_cost,1)</f>
        <v>0</v>
      </c>
      <c r="AO199" s="69">
        <f>INDEX(inp_dc_other,11)*INDEX(ref_scn_cost,1)</f>
        <v>0</v>
      </c>
      <c r="AP199" s="69">
        <f>INDEX(inp_dc_other,12)*INDEX(ref_scn_cost,1)</f>
        <v>0</v>
      </c>
      <c r="AQ199" s="69">
        <f>INDEX(inp_dc_other,13)*INDEX(ref_scn_cost,1)</f>
        <v>0</v>
      </c>
      <c r="AR199" s="69">
        <f>INDEX(inp_dc_other,14)*INDEX(ref_scn_cost,1)</f>
        <v>0</v>
      </c>
      <c r="AS199" s="69">
        <f>INDEX(inp_dc_other,15)*INDEX(ref_scn_cost,1)</f>
        <v>0</v>
      </c>
      <c r="AT199" s="69">
        <f>INDEX(inp_dc_other,16)*INDEX(ref_scn_cost,1)</f>
        <v>0</v>
      </c>
      <c r="AU199" s="69">
        <f>INDEX(inp_dc_other,17)*INDEX(ref_scn_cost,1)</f>
        <v>0</v>
      </c>
      <c r="AV199" s="69">
        <f>INDEX(inp_dc_other,18)*INDEX(ref_scn_cost,1)</f>
        <v>0</v>
      </c>
      <c r="AW199" s="69">
        <f>INDEX(inp_dc_other,19)*INDEX(ref_scn_cost,1)</f>
        <v>0</v>
      </c>
      <c r="AX199" s="69">
        <f>INDEX(inp_dc_other,20)*INDEX(ref_scn_cost,1)</f>
        <v>0</v>
      </c>
      <c r="AY199" s="69">
        <f>INDEX(inp_dc_other,21)*INDEX(ref_scn_cost,1)</f>
        <v>0</v>
      </c>
      <c r="AZ199" s="69">
        <f>INDEX(inp_dc_other,22)*INDEX(ref_scn_cost,1)</f>
        <v>0</v>
      </c>
      <c r="BA199" s="69">
        <f>INDEX(inp_dc_other,23)*INDEX(ref_scn_cost,1)</f>
        <v>0</v>
      </c>
      <c r="BB199" s="69">
        <f>INDEX(inp_dc_other,24)*INDEX(ref_scn_cost,1)</f>
        <v>0</v>
      </c>
      <c r="BC199" s="70">
        <f t="shared" si="80"/>
        <v>0</v>
      </c>
      <c r="BD199" s="70">
        <f t="shared" si="81"/>
        <v>0</v>
      </c>
      <c r="BE199" s="2"/>
      <c r="BF199" s="69">
        <f>INDEX(inp_dc_other,1)*INDEX(ref_scn_cost,2)</f>
        <v>0</v>
      </c>
      <c r="BG199" s="69">
        <f>INDEX(inp_dc_other,2)*INDEX(ref_scn_cost,2)</f>
        <v>0</v>
      </c>
      <c r="BH199" s="69">
        <f>INDEX(inp_dc_other,3)*INDEX(ref_scn_cost,2)</f>
        <v>0</v>
      </c>
      <c r="BI199" s="69">
        <f>INDEX(inp_dc_other,4)*INDEX(ref_scn_cost,2)</f>
        <v>0</v>
      </c>
      <c r="BJ199" s="69">
        <f>INDEX(inp_dc_other,5)*INDEX(ref_scn_cost,2)</f>
        <v>0</v>
      </c>
      <c r="BK199" s="69">
        <f>INDEX(inp_dc_other,6)*INDEX(ref_scn_cost,2)</f>
        <v>0</v>
      </c>
      <c r="BL199" s="69">
        <f>INDEX(inp_dc_other,7)*INDEX(ref_scn_cost,2)</f>
        <v>0</v>
      </c>
      <c r="BM199" s="69">
        <f>INDEX(inp_dc_other,8)*INDEX(ref_scn_cost,2)</f>
        <v>0</v>
      </c>
      <c r="BN199" s="69">
        <f>INDEX(inp_dc_other,9)*INDEX(ref_scn_cost,2)</f>
        <v>0</v>
      </c>
      <c r="BO199" s="69">
        <f>INDEX(inp_dc_other,10)*INDEX(ref_scn_cost,2)</f>
        <v>0</v>
      </c>
      <c r="BP199" s="69">
        <f>INDEX(inp_dc_other,11)*INDEX(ref_scn_cost,2)</f>
        <v>0</v>
      </c>
      <c r="BQ199" s="69">
        <f>INDEX(inp_dc_other,12)*INDEX(ref_scn_cost,2)</f>
        <v>0</v>
      </c>
      <c r="BR199" s="69">
        <f>INDEX(inp_dc_other,13)*INDEX(ref_scn_cost,2)</f>
        <v>0</v>
      </c>
      <c r="BS199" s="69">
        <f>INDEX(inp_dc_other,14)*INDEX(ref_scn_cost,2)</f>
        <v>0</v>
      </c>
      <c r="BT199" s="69">
        <f>INDEX(inp_dc_other,15)*INDEX(ref_scn_cost,2)</f>
        <v>0</v>
      </c>
      <c r="BU199" s="69">
        <f>INDEX(inp_dc_other,16)*INDEX(ref_scn_cost,2)</f>
        <v>0</v>
      </c>
      <c r="BV199" s="69">
        <f>INDEX(inp_dc_other,17)*INDEX(ref_scn_cost,2)</f>
        <v>0</v>
      </c>
      <c r="BW199" s="69">
        <f>INDEX(inp_dc_other,18)*INDEX(ref_scn_cost,2)</f>
        <v>0</v>
      </c>
      <c r="BX199" s="69">
        <f>INDEX(inp_dc_other,19)*INDEX(ref_scn_cost,2)</f>
        <v>0</v>
      </c>
      <c r="BY199" s="69">
        <f>INDEX(inp_dc_other,20)*INDEX(ref_scn_cost,2)</f>
        <v>0</v>
      </c>
      <c r="BZ199" s="69">
        <f>INDEX(inp_dc_other,21)*INDEX(ref_scn_cost,2)</f>
        <v>0</v>
      </c>
      <c r="CA199" s="69">
        <f>INDEX(inp_dc_other,22)*INDEX(ref_scn_cost,2)</f>
        <v>0</v>
      </c>
      <c r="CB199" s="69">
        <f>INDEX(inp_dc_other,23)*INDEX(ref_scn_cost,2)</f>
        <v>0</v>
      </c>
      <c r="CC199" s="69">
        <f>INDEX(inp_dc_other,24)*INDEX(ref_scn_cost,2)</f>
        <v>0</v>
      </c>
      <c r="CD199" s="70">
        <f t="shared" si="82"/>
        <v>0</v>
      </c>
      <c r="CE199" s="70">
        <f t="shared" si="83"/>
        <v>0</v>
      </c>
      <c r="CF199" s="2"/>
      <c r="CG199" s="69">
        <f>INDEX(inp_dc_other,1)*INDEX(ref_scn_cost,3)</f>
        <v>0</v>
      </c>
      <c r="CH199" s="69">
        <f>INDEX(inp_dc_other,2)*INDEX(ref_scn_cost,3)</f>
        <v>0</v>
      </c>
      <c r="CI199" s="69">
        <f>INDEX(inp_dc_other,3)*INDEX(ref_scn_cost,3)</f>
        <v>0</v>
      </c>
      <c r="CJ199" s="69">
        <f>INDEX(inp_dc_other,4)*INDEX(ref_scn_cost,3)</f>
        <v>0</v>
      </c>
      <c r="CK199" s="69">
        <f>INDEX(inp_dc_other,5)*INDEX(ref_scn_cost,3)</f>
        <v>0</v>
      </c>
      <c r="CL199" s="69">
        <f>INDEX(inp_dc_other,6)*INDEX(ref_scn_cost,3)</f>
        <v>0</v>
      </c>
      <c r="CM199" s="69">
        <f>INDEX(inp_dc_other,7)*INDEX(ref_scn_cost,3)</f>
        <v>0</v>
      </c>
      <c r="CN199" s="69">
        <f>INDEX(inp_dc_other,8)*INDEX(ref_scn_cost,3)</f>
        <v>0</v>
      </c>
      <c r="CO199" s="69">
        <f>INDEX(inp_dc_other,9)*INDEX(ref_scn_cost,3)</f>
        <v>0</v>
      </c>
      <c r="CP199" s="69">
        <f>INDEX(inp_dc_other,10)*INDEX(ref_scn_cost,3)</f>
        <v>0</v>
      </c>
      <c r="CQ199" s="69">
        <f>INDEX(inp_dc_other,11)*INDEX(ref_scn_cost,3)</f>
        <v>0</v>
      </c>
      <c r="CR199" s="69">
        <f>INDEX(inp_dc_other,12)*INDEX(ref_scn_cost,3)</f>
        <v>0</v>
      </c>
      <c r="CS199" s="69">
        <f>INDEX(inp_dc_other,13)*INDEX(ref_scn_cost,3)</f>
        <v>0</v>
      </c>
      <c r="CT199" s="69">
        <f>INDEX(inp_dc_other,14)*INDEX(ref_scn_cost,3)</f>
        <v>0</v>
      </c>
      <c r="CU199" s="69">
        <f>INDEX(inp_dc_other,15)*INDEX(ref_scn_cost,3)</f>
        <v>0</v>
      </c>
      <c r="CV199" s="69">
        <f>INDEX(inp_dc_other,16)*INDEX(ref_scn_cost,3)</f>
        <v>0</v>
      </c>
      <c r="CW199" s="69">
        <f>INDEX(inp_dc_other,17)*INDEX(ref_scn_cost,3)</f>
        <v>0</v>
      </c>
      <c r="CX199" s="69">
        <f>INDEX(inp_dc_other,18)*INDEX(ref_scn_cost,3)</f>
        <v>0</v>
      </c>
      <c r="CY199" s="69">
        <f>INDEX(inp_dc_other,19)*INDEX(ref_scn_cost,3)</f>
        <v>0</v>
      </c>
      <c r="CZ199" s="69">
        <f>INDEX(inp_dc_other,20)*INDEX(ref_scn_cost,3)</f>
        <v>0</v>
      </c>
      <c r="DA199" s="69">
        <f>INDEX(inp_dc_other,21)*INDEX(ref_scn_cost,3)</f>
        <v>0</v>
      </c>
      <c r="DB199" s="69">
        <f>INDEX(inp_dc_other,22)*INDEX(ref_scn_cost,3)</f>
        <v>0</v>
      </c>
      <c r="DC199" s="69">
        <f>INDEX(inp_dc_other,23)*INDEX(ref_scn_cost,3)</f>
        <v>0</v>
      </c>
      <c r="DD199" s="69">
        <f>INDEX(inp_dc_other,24)*INDEX(ref_scn_cost,3)</f>
        <v>0</v>
      </c>
      <c r="DE199" s="70">
        <f t="shared" si="84"/>
        <v>0</v>
      </c>
      <c r="DF199" s="70">
        <f t="shared" si="85"/>
        <v>0</v>
      </c>
      <c r="DG199"/>
      <c r="DH199"/>
    </row>
    <row r="200" spans="1:112" hidden="1" x14ac:dyDescent="0.2">
      <c r="A200" s="2"/>
      <c r="B200" s="35" t="s">
        <v>122</v>
      </c>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70">
        <f t="shared" ref="AE200:BB200" si="104">AE191+AE192+AE193+AE194+AE195+AE196+AE197+AE198+AE199</f>
        <v>0</v>
      </c>
      <c r="AF200" s="70">
        <f t="shared" si="104"/>
        <v>0</v>
      </c>
      <c r="AG200" s="70">
        <f t="shared" si="104"/>
        <v>0</v>
      </c>
      <c r="AH200" s="70">
        <f t="shared" si="104"/>
        <v>0</v>
      </c>
      <c r="AI200" s="70">
        <f t="shared" si="104"/>
        <v>0</v>
      </c>
      <c r="AJ200" s="70">
        <f t="shared" si="104"/>
        <v>0</v>
      </c>
      <c r="AK200" s="70">
        <f t="shared" si="104"/>
        <v>0</v>
      </c>
      <c r="AL200" s="70">
        <f t="shared" si="104"/>
        <v>0</v>
      </c>
      <c r="AM200" s="70">
        <f t="shared" si="104"/>
        <v>0</v>
      </c>
      <c r="AN200" s="70">
        <f t="shared" si="104"/>
        <v>0</v>
      </c>
      <c r="AO200" s="70">
        <f t="shared" si="104"/>
        <v>0</v>
      </c>
      <c r="AP200" s="70">
        <f t="shared" si="104"/>
        <v>0</v>
      </c>
      <c r="AQ200" s="70">
        <f t="shared" si="104"/>
        <v>0</v>
      </c>
      <c r="AR200" s="70">
        <f t="shared" si="104"/>
        <v>0</v>
      </c>
      <c r="AS200" s="70">
        <f t="shared" si="104"/>
        <v>0</v>
      </c>
      <c r="AT200" s="70">
        <f t="shared" si="104"/>
        <v>0</v>
      </c>
      <c r="AU200" s="70">
        <f t="shared" si="104"/>
        <v>0</v>
      </c>
      <c r="AV200" s="70">
        <f t="shared" si="104"/>
        <v>0</v>
      </c>
      <c r="AW200" s="70">
        <f t="shared" si="104"/>
        <v>0</v>
      </c>
      <c r="AX200" s="70">
        <f t="shared" si="104"/>
        <v>0</v>
      </c>
      <c r="AY200" s="70">
        <f t="shared" si="104"/>
        <v>0</v>
      </c>
      <c r="AZ200" s="70">
        <f t="shared" si="104"/>
        <v>0</v>
      </c>
      <c r="BA200" s="70">
        <f t="shared" si="104"/>
        <v>0</v>
      </c>
      <c r="BB200" s="70">
        <f t="shared" si="104"/>
        <v>0</v>
      </c>
      <c r="BC200" s="70">
        <f t="shared" si="80"/>
        <v>0</v>
      </c>
      <c r="BD200" s="70">
        <f t="shared" si="81"/>
        <v>0</v>
      </c>
      <c r="BE200" s="2"/>
      <c r="BF200" s="70">
        <f t="shared" ref="BF200:CC200" si="105">BF191+BF192+BF193+BF194+BF195+BF196+BF197+BF198+BF199</f>
        <v>0</v>
      </c>
      <c r="BG200" s="70">
        <f t="shared" si="105"/>
        <v>0</v>
      </c>
      <c r="BH200" s="70">
        <f t="shared" si="105"/>
        <v>0</v>
      </c>
      <c r="BI200" s="70">
        <f t="shared" si="105"/>
        <v>0</v>
      </c>
      <c r="BJ200" s="70">
        <f t="shared" si="105"/>
        <v>0</v>
      </c>
      <c r="BK200" s="70">
        <f t="shared" si="105"/>
        <v>0</v>
      </c>
      <c r="BL200" s="70">
        <f t="shared" si="105"/>
        <v>0</v>
      </c>
      <c r="BM200" s="70">
        <f t="shared" si="105"/>
        <v>0</v>
      </c>
      <c r="BN200" s="70">
        <f t="shared" si="105"/>
        <v>0</v>
      </c>
      <c r="BO200" s="70">
        <f t="shared" si="105"/>
        <v>0</v>
      </c>
      <c r="BP200" s="70">
        <f t="shared" si="105"/>
        <v>0</v>
      </c>
      <c r="BQ200" s="70">
        <f t="shared" si="105"/>
        <v>0</v>
      </c>
      <c r="BR200" s="70">
        <f t="shared" si="105"/>
        <v>0</v>
      </c>
      <c r="BS200" s="70">
        <f t="shared" si="105"/>
        <v>0</v>
      </c>
      <c r="BT200" s="70">
        <f t="shared" si="105"/>
        <v>0</v>
      </c>
      <c r="BU200" s="70">
        <f t="shared" si="105"/>
        <v>0</v>
      </c>
      <c r="BV200" s="70">
        <f t="shared" si="105"/>
        <v>0</v>
      </c>
      <c r="BW200" s="70">
        <f t="shared" si="105"/>
        <v>0</v>
      </c>
      <c r="BX200" s="70">
        <f t="shared" si="105"/>
        <v>0</v>
      </c>
      <c r="BY200" s="70">
        <f t="shared" si="105"/>
        <v>0</v>
      </c>
      <c r="BZ200" s="70">
        <f t="shared" si="105"/>
        <v>0</v>
      </c>
      <c r="CA200" s="70">
        <f t="shared" si="105"/>
        <v>0</v>
      </c>
      <c r="CB200" s="70">
        <f t="shared" si="105"/>
        <v>0</v>
      </c>
      <c r="CC200" s="70">
        <f t="shared" si="105"/>
        <v>0</v>
      </c>
      <c r="CD200" s="70">
        <f t="shared" si="82"/>
        <v>0</v>
      </c>
      <c r="CE200" s="70">
        <f t="shared" si="83"/>
        <v>0</v>
      </c>
      <c r="CF200" s="2"/>
      <c r="CG200" s="70">
        <f t="shared" ref="CG200:DD200" si="106">CG191+CG192+CG193+CG194+CG195+CG196+CG197+CG198+CG199</f>
        <v>0</v>
      </c>
      <c r="CH200" s="70">
        <f t="shared" si="106"/>
        <v>0</v>
      </c>
      <c r="CI200" s="70">
        <f t="shared" si="106"/>
        <v>0</v>
      </c>
      <c r="CJ200" s="70">
        <f t="shared" si="106"/>
        <v>0</v>
      </c>
      <c r="CK200" s="70">
        <f t="shared" si="106"/>
        <v>0</v>
      </c>
      <c r="CL200" s="70">
        <f t="shared" si="106"/>
        <v>0</v>
      </c>
      <c r="CM200" s="70">
        <f t="shared" si="106"/>
        <v>0</v>
      </c>
      <c r="CN200" s="70">
        <f t="shared" si="106"/>
        <v>0</v>
      </c>
      <c r="CO200" s="70">
        <f t="shared" si="106"/>
        <v>0</v>
      </c>
      <c r="CP200" s="70">
        <f t="shared" si="106"/>
        <v>0</v>
      </c>
      <c r="CQ200" s="70">
        <f t="shared" si="106"/>
        <v>0</v>
      </c>
      <c r="CR200" s="70">
        <f t="shared" si="106"/>
        <v>0</v>
      </c>
      <c r="CS200" s="70">
        <f t="shared" si="106"/>
        <v>0</v>
      </c>
      <c r="CT200" s="70">
        <f t="shared" si="106"/>
        <v>0</v>
      </c>
      <c r="CU200" s="70">
        <f t="shared" si="106"/>
        <v>0</v>
      </c>
      <c r="CV200" s="70">
        <f t="shared" si="106"/>
        <v>0</v>
      </c>
      <c r="CW200" s="70">
        <f t="shared" si="106"/>
        <v>0</v>
      </c>
      <c r="CX200" s="70">
        <f t="shared" si="106"/>
        <v>0</v>
      </c>
      <c r="CY200" s="70">
        <f t="shared" si="106"/>
        <v>0</v>
      </c>
      <c r="CZ200" s="70">
        <f t="shared" si="106"/>
        <v>0</v>
      </c>
      <c r="DA200" s="70">
        <f t="shared" si="106"/>
        <v>0</v>
      </c>
      <c r="DB200" s="70">
        <f t="shared" si="106"/>
        <v>0</v>
      </c>
      <c r="DC200" s="70">
        <f t="shared" si="106"/>
        <v>0</v>
      </c>
      <c r="DD200" s="70">
        <f t="shared" si="106"/>
        <v>0</v>
      </c>
      <c r="DE200" s="70">
        <f t="shared" si="84"/>
        <v>0</v>
      </c>
      <c r="DF200" s="70">
        <f t="shared" si="85"/>
        <v>0</v>
      </c>
      <c r="DG200"/>
      <c r="DH200"/>
    </row>
    <row r="201" spans="1:112" hidden="1" x14ac:dyDescent="0.2">
      <c r="A201" s="2"/>
      <c r="B201" s="35" t="s">
        <v>123</v>
      </c>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70">
        <f t="shared" ref="AE201:BB201" si="107">AE190-AE200</f>
        <v>0</v>
      </c>
      <c r="AF201" s="70">
        <f t="shared" si="107"/>
        <v>0</v>
      </c>
      <c r="AG201" s="70">
        <f t="shared" si="107"/>
        <v>0</v>
      </c>
      <c r="AH201" s="70">
        <f t="shared" si="107"/>
        <v>0</v>
      </c>
      <c r="AI201" s="70">
        <f t="shared" si="107"/>
        <v>0</v>
      </c>
      <c r="AJ201" s="70">
        <f t="shared" si="107"/>
        <v>0</v>
      </c>
      <c r="AK201" s="70">
        <f t="shared" si="107"/>
        <v>0</v>
      </c>
      <c r="AL201" s="70">
        <f t="shared" si="107"/>
        <v>0</v>
      </c>
      <c r="AM201" s="70">
        <f t="shared" si="107"/>
        <v>0</v>
      </c>
      <c r="AN201" s="70">
        <f t="shared" si="107"/>
        <v>0</v>
      </c>
      <c r="AO201" s="70">
        <f t="shared" si="107"/>
        <v>0</v>
      </c>
      <c r="AP201" s="70">
        <f t="shared" si="107"/>
        <v>0</v>
      </c>
      <c r="AQ201" s="70">
        <f t="shared" si="107"/>
        <v>0</v>
      </c>
      <c r="AR201" s="70">
        <f t="shared" si="107"/>
        <v>0</v>
      </c>
      <c r="AS201" s="70">
        <f t="shared" si="107"/>
        <v>0</v>
      </c>
      <c r="AT201" s="70">
        <f t="shared" si="107"/>
        <v>0</v>
      </c>
      <c r="AU201" s="70">
        <f t="shared" si="107"/>
        <v>0</v>
      </c>
      <c r="AV201" s="70">
        <f t="shared" si="107"/>
        <v>0</v>
      </c>
      <c r="AW201" s="70">
        <f t="shared" si="107"/>
        <v>0</v>
      </c>
      <c r="AX201" s="70">
        <f t="shared" si="107"/>
        <v>0</v>
      </c>
      <c r="AY201" s="70">
        <f t="shared" si="107"/>
        <v>0</v>
      </c>
      <c r="AZ201" s="70">
        <f t="shared" si="107"/>
        <v>0</v>
      </c>
      <c r="BA201" s="70">
        <f t="shared" si="107"/>
        <v>0</v>
      </c>
      <c r="BB201" s="70">
        <f t="shared" si="107"/>
        <v>0</v>
      </c>
      <c r="BC201" s="70">
        <f t="shared" si="80"/>
        <v>0</v>
      </c>
      <c r="BD201" s="70">
        <f t="shared" si="81"/>
        <v>0</v>
      </c>
      <c r="BE201" s="2"/>
      <c r="BF201" s="70">
        <f t="shared" ref="BF201:CC201" si="108">BF190-BF200</f>
        <v>0</v>
      </c>
      <c r="BG201" s="70">
        <f t="shared" si="108"/>
        <v>0</v>
      </c>
      <c r="BH201" s="70">
        <f t="shared" si="108"/>
        <v>0</v>
      </c>
      <c r="BI201" s="70">
        <f t="shared" si="108"/>
        <v>0</v>
      </c>
      <c r="BJ201" s="70">
        <f t="shared" si="108"/>
        <v>0</v>
      </c>
      <c r="BK201" s="70">
        <f t="shared" si="108"/>
        <v>0</v>
      </c>
      <c r="BL201" s="70">
        <f t="shared" si="108"/>
        <v>0</v>
      </c>
      <c r="BM201" s="70">
        <f t="shared" si="108"/>
        <v>0</v>
      </c>
      <c r="BN201" s="70">
        <f t="shared" si="108"/>
        <v>0</v>
      </c>
      <c r="BO201" s="70">
        <f t="shared" si="108"/>
        <v>0</v>
      </c>
      <c r="BP201" s="70">
        <f t="shared" si="108"/>
        <v>0</v>
      </c>
      <c r="BQ201" s="70">
        <f t="shared" si="108"/>
        <v>0</v>
      </c>
      <c r="BR201" s="70">
        <f t="shared" si="108"/>
        <v>0</v>
      </c>
      <c r="BS201" s="70">
        <f t="shared" si="108"/>
        <v>0</v>
      </c>
      <c r="BT201" s="70">
        <f t="shared" si="108"/>
        <v>0</v>
      </c>
      <c r="BU201" s="70">
        <f t="shared" si="108"/>
        <v>0</v>
      </c>
      <c r="BV201" s="70">
        <f t="shared" si="108"/>
        <v>0</v>
      </c>
      <c r="BW201" s="70">
        <f t="shared" si="108"/>
        <v>0</v>
      </c>
      <c r="BX201" s="70">
        <f t="shared" si="108"/>
        <v>0</v>
      </c>
      <c r="BY201" s="70">
        <f t="shared" si="108"/>
        <v>0</v>
      </c>
      <c r="BZ201" s="70">
        <f t="shared" si="108"/>
        <v>0</v>
      </c>
      <c r="CA201" s="70">
        <f t="shared" si="108"/>
        <v>0</v>
      </c>
      <c r="CB201" s="70">
        <f t="shared" si="108"/>
        <v>0</v>
      </c>
      <c r="CC201" s="70">
        <f t="shared" si="108"/>
        <v>0</v>
      </c>
      <c r="CD201" s="70">
        <f t="shared" si="82"/>
        <v>0</v>
      </c>
      <c r="CE201" s="70">
        <f t="shared" si="83"/>
        <v>0</v>
      </c>
      <c r="CF201" s="2"/>
      <c r="CG201" s="70">
        <f t="shared" ref="CG201:DD201" si="109">CG190-CG200</f>
        <v>0</v>
      </c>
      <c r="CH201" s="70">
        <f t="shared" si="109"/>
        <v>0</v>
      </c>
      <c r="CI201" s="70">
        <f t="shared" si="109"/>
        <v>0</v>
      </c>
      <c r="CJ201" s="70">
        <f t="shared" si="109"/>
        <v>0</v>
      </c>
      <c r="CK201" s="70">
        <f t="shared" si="109"/>
        <v>0</v>
      </c>
      <c r="CL201" s="70">
        <f t="shared" si="109"/>
        <v>0</v>
      </c>
      <c r="CM201" s="70">
        <f t="shared" si="109"/>
        <v>0</v>
      </c>
      <c r="CN201" s="70">
        <f t="shared" si="109"/>
        <v>0</v>
      </c>
      <c r="CO201" s="70">
        <f t="shared" si="109"/>
        <v>0</v>
      </c>
      <c r="CP201" s="70">
        <f t="shared" si="109"/>
        <v>0</v>
      </c>
      <c r="CQ201" s="70">
        <f t="shared" si="109"/>
        <v>0</v>
      </c>
      <c r="CR201" s="70">
        <f t="shared" si="109"/>
        <v>0</v>
      </c>
      <c r="CS201" s="70">
        <f t="shared" si="109"/>
        <v>0</v>
      </c>
      <c r="CT201" s="70">
        <f t="shared" si="109"/>
        <v>0</v>
      </c>
      <c r="CU201" s="70">
        <f t="shared" si="109"/>
        <v>0</v>
      </c>
      <c r="CV201" s="70">
        <f t="shared" si="109"/>
        <v>0</v>
      </c>
      <c r="CW201" s="70">
        <f t="shared" si="109"/>
        <v>0</v>
      </c>
      <c r="CX201" s="70">
        <f t="shared" si="109"/>
        <v>0</v>
      </c>
      <c r="CY201" s="70">
        <f t="shared" si="109"/>
        <v>0</v>
      </c>
      <c r="CZ201" s="70">
        <f t="shared" si="109"/>
        <v>0</v>
      </c>
      <c r="DA201" s="70">
        <f t="shared" si="109"/>
        <v>0</v>
      </c>
      <c r="DB201" s="70">
        <f t="shared" si="109"/>
        <v>0</v>
      </c>
      <c r="DC201" s="70">
        <f t="shared" si="109"/>
        <v>0</v>
      </c>
      <c r="DD201" s="70">
        <f t="shared" si="109"/>
        <v>0</v>
      </c>
      <c r="DE201" s="70">
        <f t="shared" si="84"/>
        <v>0</v>
      </c>
      <c r="DF201" s="70">
        <f t="shared" si="85"/>
        <v>0</v>
      </c>
      <c r="DG201"/>
      <c r="DH201"/>
    </row>
    <row r="202" spans="1:112" hidden="1" x14ac:dyDescent="0.2">
      <c r="A202" s="2"/>
      <c r="B202" s="35" t="s">
        <v>124</v>
      </c>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32">
        <f t="shared" ref="AE202:BB202" si="110">IFERROR(AE201/AE190,0)</f>
        <v>0</v>
      </c>
      <c r="AF202" s="32">
        <f t="shared" si="110"/>
        <v>0</v>
      </c>
      <c r="AG202" s="32">
        <f t="shared" si="110"/>
        <v>0</v>
      </c>
      <c r="AH202" s="32">
        <f t="shared" si="110"/>
        <v>0</v>
      </c>
      <c r="AI202" s="32">
        <f t="shared" si="110"/>
        <v>0</v>
      </c>
      <c r="AJ202" s="32">
        <f t="shared" si="110"/>
        <v>0</v>
      </c>
      <c r="AK202" s="32">
        <f t="shared" si="110"/>
        <v>0</v>
      </c>
      <c r="AL202" s="32">
        <f t="shared" si="110"/>
        <v>0</v>
      </c>
      <c r="AM202" s="32">
        <f t="shared" si="110"/>
        <v>0</v>
      </c>
      <c r="AN202" s="32">
        <f t="shared" si="110"/>
        <v>0</v>
      </c>
      <c r="AO202" s="32">
        <f t="shared" si="110"/>
        <v>0</v>
      </c>
      <c r="AP202" s="32">
        <f t="shared" si="110"/>
        <v>0</v>
      </c>
      <c r="AQ202" s="32">
        <f t="shared" si="110"/>
        <v>0</v>
      </c>
      <c r="AR202" s="32">
        <f t="shared" si="110"/>
        <v>0</v>
      </c>
      <c r="AS202" s="32">
        <f t="shared" si="110"/>
        <v>0</v>
      </c>
      <c r="AT202" s="32">
        <f t="shared" si="110"/>
        <v>0</v>
      </c>
      <c r="AU202" s="32">
        <f t="shared" si="110"/>
        <v>0</v>
      </c>
      <c r="AV202" s="32">
        <f t="shared" si="110"/>
        <v>0</v>
      </c>
      <c r="AW202" s="32">
        <f t="shared" si="110"/>
        <v>0</v>
      </c>
      <c r="AX202" s="32">
        <f t="shared" si="110"/>
        <v>0</v>
      </c>
      <c r="AY202" s="32">
        <f t="shared" si="110"/>
        <v>0</v>
      </c>
      <c r="AZ202" s="32">
        <f t="shared" si="110"/>
        <v>0</v>
      </c>
      <c r="BA202" s="32">
        <f t="shared" si="110"/>
        <v>0</v>
      </c>
      <c r="BB202" s="32">
        <f t="shared" si="110"/>
        <v>0</v>
      </c>
      <c r="BC202" s="76">
        <f>IFERROR(SUM(AE201:AP201)/SUM(AE190:AP190),0)</f>
        <v>0</v>
      </c>
      <c r="BD202" s="76">
        <f>IFERROR(SUM(AQ201:BB201)/SUM(AQ190:BB190),0)</f>
        <v>0</v>
      </c>
      <c r="BE202" s="2"/>
      <c r="BF202" s="32">
        <f t="shared" ref="BF202:CC202" si="111">IFERROR(BF201/BF190,0)</f>
        <v>0</v>
      </c>
      <c r="BG202" s="32">
        <f t="shared" si="111"/>
        <v>0</v>
      </c>
      <c r="BH202" s="32">
        <f t="shared" si="111"/>
        <v>0</v>
      </c>
      <c r="BI202" s="32">
        <f t="shared" si="111"/>
        <v>0</v>
      </c>
      <c r="BJ202" s="32">
        <f t="shared" si="111"/>
        <v>0</v>
      </c>
      <c r="BK202" s="32">
        <f t="shared" si="111"/>
        <v>0</v>
      </c>
      <c r="BL202" s="32">
        <f t="shared" si="111"/>
        <v>0</v>
      </c>
      <c r="BM202" s="32">
        <f t="shared" si="111"/>
        <v>0</v>
      </c>
      <c r="BN202" s="32">
        <f t="shared" si="111"/>
        <v>0</v>
      </c>
      <c r="BO202" s="32">
        <f t="shared" si="111"/>
        <v>0</v>
      </c>
      <c r="BP202" s="32">
        <f t="shared" si="111"/>
        <v>0</v>
      </c>
      <c r="BQ202" s="32">
        <f t="shared" si="111"/>
        <v>0</v>
      </c>
      <c r="BR202" s="32">
        <f t="shared" si="111"/>
        <v>0</v>
      </c>
      <c r="BS202" s="32">
        <f t="shared" si="111"/>
        <v>0</v>
      </c>
      <c r="BT202" s="32">
        <f t="shared" si="111"/>
        <v>0</v>
      </c>
      <c r="BU202" s="32">
        <f t="shared" si="111"/>
        <v>0</v>
      </c>
      <c r="BV202" s="32">
        <f t="shared" si="111"/>
        <v>0</v>
      </c>
      <c r="BW202" s="32">
        <f t="shared" si="111"/>
        <v>0</v>
      </c>
      <c r="BX202" s="32">
        <f t="shared" si="111"/>
        <v>0</v>
      </c>
      <c r="BY202" s="32">
        <f t="shared" si="111"/>
        <v>0</v>
      </c>
      <c r="BZ202" s="32">
        <f t="shared" si="111"/>
        <v>0</v>
      </c>
      <c r="CA202" s="32">
        <f t="shared" si="111"/>
        <v>0</v>
      </c>
      <c r="CB202" s="32">
        <f t="shared" si="111"/>
        <v>0</v>
      </c>
      <c r="CC202" s="32">
        <f t="shared" si="111"/>
        <v>0</v>
      </c>
      <c r="CD202" s="76">
        <f>IFERROR(SUM(BF201:BQ201)/SUM(BF190:BQ190),0)</f>
        <v>0</v>
      </c>
      <c r="CE202" s="76">
        <f>IFERROR(SUM(BR201:CC201)/SUM(BR190:CC190),0)</f>
        <v>0</v>
      </c>
      <c r="CF202" s="2"/>
      <c r="CG202" s="32">
        <f t="shared" ref="CG202:DD202" si="112">IFERROR(CG201/CG190,0)</f>
        <v>0</v>
      </c>
      <c r="CH202" s="32">
        <f t="shared" si="112"/>
        <v>0</v>
      </c>
      <c r="CI202" s="32">
        <f t="shared" si="112"/>
        <v>0</v>
      </c>
      <c r="CJ202" s="32">
        <f t="shared" si="112"/>
        <v>0</v>
      </c>
      <c r="CK202" s="32">
        <f t="shared" si="112"/>
        <v>0</v>
      </c>
      <c r="CL202" s="32">
        <f t="shared" si="112"/>
        <v>0</v>
      </c>
      <c r="CM202" s="32">
        <f t="shared" si="112"/>
        <v>0</v>
      </c>
      <c r="CN202" s="32">
        <f t="shared" si="112"/>
        <v>0</v>
      </c>
      <c r="CO202" s="32">
        <f t="shared" si="112"/>
        <v>0</v>
      </c>
      <c r="CP202" s="32">
        <f t="shared" si="112"/>
        <v>0</v>
      </c>
      <c r="CQ202" s="32">
        <f t="shared" si="112"/>
        <v>0</v>
      </c>
      <c r="CR202" s="32">
        <f t="shared" si="112"/>
        <v>0</v>
      </c>
      <c r="CS202" s="32">
        <f t="shared" si="112"/>
        <v>0</v>
      </c>
      <c r="CT202" s="32">
        <f t="shared" si="112"/>
        <v>0</v>
      </c>
      <c r="CU202" s="32">
        <f t="shared" si="112"/>
        <v>0</v>
      </c>
      <c r="CV202" s="32">
        <f t="shared" si="112"/>
        <v>0</v>
      </c>
      <c r="CW202" s="32">
        <f t="shared" si="112"/>
        <v>0</v>
      </c>
      <c r="CX202" s="32">
        <f t="shared" si="112"/>
        <v>0</v>
      </c>
      <c r="CY202" s="32">
        <f t="shared" si="112"/>
        <v>0</v>
      </c>
      <c r="CZ202" s="32">
        <f t="shared" si="112"/>
        <v>0</v>
      </c>
      <c r="DA202" s="32">
        <f t="shared" si="112"/>
        <v>0</v>
      </c>
      <c r="DB202" s="32">
        <f t="shared" si="112"/>
        <v>0</v>
      </c>
      <c r="DC202" s="32">
        <f t="shared" si="112"/>
        <v>0</v>
      </c>
      <c r="DD202" s="32">
        <f t="shared" si="112"/>
        <v>0</v>
      </c>
      <c r="DE202" s="76">
        <f>IFERROR(SUM(CG201:CR201)/SUM(CG190:CR190),0)</f>
        <v>0</v>
      </c>
      <c r="DF202" s="76">
        <f>IFERROR(SUM(CS201:DD201)/SUM(CS190:DD190),0)</f>
        <v>0</v>
      </c>
      <c r="DG202"/>
      <c r="DH202"/>
    </row>
    <row r="203" spans="1:112" hidden="1" x14ac:dyDescent="0.2">
      <c r="A203" s="2"/>
      <c r="B203" s="35" t="s">
        <v>125</v>
      </c>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69">
        <f>INDEX(inp_ox_payroll,1)*INDEX(ref_scn_cost,1)</f>
        <v>0</v>
      </c>
      <c r="AF203" s="69">
        <f>INDEX(inp_ox_payroll,2)*INDEX(ref_scn_cost,1)</f>
        <v>0</v>
      </c>
      <c r="AG203" s="69">
        <f>INDEX(inp_ox_payroll,3)*INDEX(ref_scn_cost,1)</f>
        <v>0</v>
      </c>
      <c r="AH203" s="69">
        <f>INDEX(inp_ox_payroll,4)*INDEX(ref_scn_cost,1)</f>
        <v>0</v>
      </c>
      <c r="AI203" s="69">
        <f>INDEX(inp_ox_payroll,5)*INDEX(ref_scn_cost,1)</f>
        <v>0</v>
      </c>
      <c r="AJ203" s="69">
        <f>INDEX(inp_ox_payroll,6)*INDEX(ref_scn_cost,1)</f>
        <v>0</v>
      </c>
      <c r="AK203" s="69">
        <f>INDEX(inp_ox_payroll,7)*INDEX(ref_scn_cost,1)</f>
        <v>0</v>
      </c>
      <c r="AL203" s="69">
        <f>INDEX(inp_ox_payroll,8)*INDEX(ref_scn_cost,1)</f>
        <v>0</v>
      </c>
      <c r="AM203" s="69">
        <f>INDEX(inp_ox_payroll,9)*INDEX(ref_scn_cost,1)</f>
        <v>0</v>
      </c>
      <c r="AN203" s="69">
        <f>INDEX(inp_ox_payroll,10)*INDEX(ref_scn_cost,1)</f>
        <v>0</v>
      </c>
      <c r="AO203" s="69">
        <f>INDEX(inp_ox_payroll,11)*INDEX(ref_scn_cost,1)</f>
        <v>0</v>
      </c>
      <c r="AP203" s="69">
        <f>INDEX(inp_ox_payroll,12)*INDEX(ref_scn_cost,1)</f>
        <v>0</v>
      </c>
      <c r="AQ203" s="69">
        <f>INDEX(inp_ox_payroll,13)*INDEX(ref_scn_cost,1)</f>
        <v>0</v>
      </c>
      <c r="AR203" s="69">
        <f>INDEX(inp_ox_payroll,14)*INDEX(ref_scn_cost,1)</f>
        <v>0</v>
      </c>
      <c r="AS203" s="69">
        <f>INDEX(inp_ox_payroll,15)*INDEX(ref_scn_cost,1)</f>
        <v>0</v>
      </c>
      <c r="AT203" s="69">
        <f>INDEX(inp_ox_payroll,16)*INDEX(ref_scn_cost,1)</f>
        <v>0</v>
      </c>
      <c r="AU203" s="69">
        <f>INDEX(inp_ox_payroll,17)*INDEX(ref_scn_cost,1)</f>
        <v>0</v>
      </c>
      <c r="AV203" s="69">
        <f>INDEX(inp_ox_payroll,18)*INDEX(ref_scn_cost,1)</f>
        <v>0</v>
      </c>
      <c r="AW203" s="69">
        <f>INDEX(inp_ox_payroll,19)*INDEX(ref_scn_cost,1)</f>
        <v>0</v>
      </c>
      <c r="AX203" s="69">
        <f>INDEX(inp_ox_payroll,20)*INDEX(ref_scn_cost,1)</f>
        <v>0</v>
      </c>
      <c r="AY203" s="69">
        <f>INDEX(inp_ox_payroll,21)*INDEX(ref_scn_cost,1)</f>
        <v>0</v>
      </c>
      <c r="AZ203" s="69">
        <f>INDEX(inp_ox_payroll,22)*INDEX(ref_scn_cost,1)</f>
        <v>0</v>
      </c>
      <c r="BA203" s="69">
        <f>INDEX(inp_ox_payroll,23)*INDEX(ref_scn_cost,1)</f>
        <v>0</v>
      </c>
      <c r="BB203" s="69">
        <f>INDEX(inp_ox_payroll,24)*INDEX(ref_scn_cost,1)</f>
        <v>0</v>
      </c>
      <c r="BC203" s="70">
        <f t="shared" ref="BC203:BC211" si="113">SUM(AE203:AP203)</f>
        <v>0</v>
      </c>
      <c r="BD203" s="70">
        <f t="shared" ref="BD203:BD211" si="114">SUM(AQ203:BB203)</f>
        <v>0</v>
      </c>
      <c r="BE203" s="2"/>
      <c r="BF203" s="69">
        <f>INDEX(inp_ox_payroll,1)*INDEX(ref_scn_cost,2)</f>
        <v>0</v>
      </c>
      <c r="BG203" s="69">
        <f>INDEX(inp_ox_payroll,2)*INDEX(ref_scn_cost,2)</f>
        <v>0</v>
      </c>
      <c r="BH203" s="69">
        <f>INDEX(inp_ox_payroll,3)*INDEX(ref_scn_cost,2)</f>
        <v>0</v>
      </c>
      <c r="BI203" s="69">
        <f>INDEX(inp_ox_payroll,4)*INDEX(ref_scn_cost,2)</f>
        <v>0</v>
      </c>
      <c r="BJ203" s="69">
        <f>INDEX(inp_ox_payroll,5)*INDEX(ref_scn_cost,2)</f>
        <v>0</v>
      </c>
      <c r="BK203" s="69">
        <f>INDEX(inp_ox_payroll,6)*INDEX(ref_scn_cost,2)</f>
        <v>0</v>
      </c>
      <c r="BL203" s="69">
        <f>INDEX(inp_ox_payroll,7)*INDEX(ref_scn_cost,2)</f>
        <v>0</v>
      </c>
      <c r="BM203" s="69">
        <f>INDEX(inp_ox_payroll,8)*INDEX(ref_scn_cost,2)</f>
        <v>0</v>
      </c>
      <c r="BN203" s="69">
        <f>INDEX(inp_ox_payroll,9)*INDEX(ref_scn_cost,2)</f>
        <v>0</v>
      </c>
      <c r="BO203" s="69">
        <f>INDEX(inp_ox_payroll,10)*INDEX(ref_scn_cost,2)</f>
        <v>0</v>
      </c>
      <c r="BP203" s="69">
        <f>INDEX(inp_ox_payroll,11)*INDEX(ref_scn_cost,2)</f>
        <v>0</v>
      </c>
      <c r="BQ203" s="69">
        <f>INDEX(inp_ox_payroll,12)*INDEX(ref_scn_cost,2)</f>
        <v>0</v>
      </c>
      <c r="BR203" s="69">
        <f>INDEX(inp_ox_payroll,13)*INDEX(ref_scn_cost,2)</f>
        <v>0</v>
      </c>
      <c r="BS203" s="69">
        <f>INDEX(inp_ox_payroll,14)*INDEX(ref_scn_cost,2)</f>
        <v>0</v>
      </c>
      <c r="BT203" s="69">
        <f>INDEX(inp_ox_payroll,15)*INDEX(ref_scn_cost,2)</f>
        <v>0</v>
      </c>
      <c r="BU203" s="69">
        <f>INDEX(inp_ox_payroll,16)*INDEX(ref_scn_cost,2)</f>
        <v>0</v>
      </c>
      <c r="BV203" s="69">
        <f>INDEX(inp_ox_payroll,17)*INDEX(ref_scn_cost,2)</f>
        <v>0</v>
      </c>
      <c r="BW203" s="69">
        <f>INDEX(inp_ox_payroll,18)*INDEX(ref_scn_cost,2)</f>
        <v>0</v>
      </c>
      <c r="BX203" s="69">
        <f>INDEX(inp_ox_payroll,19)*INDEX(ref_scn_cost,2)</f>
        <v>0</v>
      </c>
      <c r="BY203" s="69">
        <f>INDEX(inp_ox_payroll,20)*INDEX(ref_scn_cost,2)</f>
        <v>0</v>
      </c>
      <c r="BZ203" s="69">
        <f>INDEX(inp_ox_payroll,21)*INDEX(ref_scn_cost,2)</f>
        <v>0</v>
      </c>
      <c r="CA203" s="69">
        <f>INDEX(inp_ox_payroll,22)*INDEX(ref_scn_cost,2)</f>
        <v>0</v>
      </c>
      <c r="CB203" s="69">
        <f>INDEX(inp_ox_payroll,23)*INDEX(ref_scn_cost,2)</f>
        <v>0</v>
      </c>
      <c r="CC203" s="69">
        <f>INDEX(inp_ox_payroll,24)*INDEX(ref_scn_cost,2)</f>
        <v>0</v>
      </c>
      <c r="CD203" s="70">
        <f t="shared" ref="CD203:CD211" si="115">SUM(BF203:BQ203)</f>
        <v>0</v>
      </c>
      <c r="CE203" s="70">
        <f t="shared" ref="CE203:CE211" si="116">SUM(BR203:CC203)</f>
        <v>0</v>
      </c>
      <c r="CF203" s="2"/>
      <c r="CG203" s="69">
        <f>INDEX(inp_ox_payroll,1)*INDEX(ref_scn_cost,3)</f>
        <v>0</v>
      </c>
      <c r="CH203" s="69">
        <f>INDEX(inp_ox_payroll,2)*INDEX(ref_scn_cost,3)</f>
        <v>0</v>
      </c>
      <c r="CI203" s="69">
        <f>INDEX(inp_ox_payroll,3)*INDEX(ref_scn_cost,3)</f>
        <v>0</v>
      </c>
      <c r="CJ203" s="69">
        <f>INDEX(inp_ox_payroll,4)*INDEX(ref_scn_cost,3)</f>
        <v>0</v>
      </c>
      <c r="CK203" s="69">
        <f>INDEX(inp_ox_payroll,5)*INDEX(ref_scn_cost,3)</f>
        <v>0</v>
      </c>
      <c r="CL203" s="69">
        <f>INDEX(inp_ox_payroll,6)*INDEX(ref_scn_cost,3)</f>
        <v>0</v>
      </c>
      <c r="CM203" s="69">
        <f>INDEX(inp_ox_payroll,7)*INDEX(ref_scn_cost,3)</f>
        <v>0</v>
      </c>
      <c r="CN203" s="69">
        <f>INDEX(inp_ox_payroll,8)*INDEX(ref_scn_cost,3)</f>
        <v>0</v>
      </c>
      <c r="CO203" s="69">
        <f>INDEX(inp_ox_payroll,9)*INDEX(ref_scn_cost,3)</f>
        <v>0</v>
      </c>
      <c r="CP203" s="69">
        <f>INDEX(inp_ox_payroll,10)*INDEX(ref_scn_cost,3)</f>
        <v>0</v>
      </c>
      <c r="CQ203" s="69">
        <f>INDEX(inp_ox_payroll,11)*INDEX(ref_scn_cost,3)</f>
        <v>0</v>
      </c>
      <c r="CR203" s="69">
        <f>INDEX(inp_ox_payroll,12)*INDEX(ref_scn_cost,3)</f>
        <v>0</v>
      </c>
      <c r="CS203" s="69">
        <f>INDEX(inp_ox_payroll,13)*INDEX(ref_scn_cost,3)</f>
        <v>0</v>
      </c>
      <c r="CT203" s="69">
        <f>INDEX(inp_ox_payroll,14)*INDEX(ref_scn_cost,3)</f>
        <v>0</v>
      </c>
      <c r="CU203" s="69">
        <f>INDEX(inp_ox_payroll,15)*INDEX(ref_scn_cost,3)</f>
        <v>0</v>
      </c>
      <c r="CV203" s="69">
        <f>INDEX(inp_ox_payroll,16)*INDEX(ref_scn_cost,3)</f>
        <v>0</v>
      </c>
      <c r="CW203" s="69">
        <f>INDEX(inp_ox_payroll,17)*INDEX(ref_scn_cost,3)</f>
        <v>0</v>
      </c>
      <c r="CX203" s="69">
        <f>INDEX(inp_ox_payroll,18)*INDEX(ref_scn_cost,3)</f>
        <v>0</v>
      </c>
      <c r="CY203" s="69">
        <f>INDEX(inp_ox_payroll,19)*INDEX(ref_scn_cost,3)</f>
        <v>0</v>
      </c>
      <c r="CZ203" s="69">
        <f>INDEX(inp_ox_payroll,20)*INDEX(ref_scn_cost,3)</f>
        <v>0</v>
      </c>
      <c r="DA203" s="69">
        <f>INDEX(inp_ox_payroll,21)*INDEX(ref_scn_cost,3)</f>
        <v>0</v>
      </c>
      <c r="DB203" s="69">
        <f>INDEX(inp_ox_payroll,22)*INDEX(ref_scn_cost,3)</f>
        <v>0</v>
      </c>
      <c r="DC203" s="69">
        <f>INDEX(inp_ox_payroll,23)*INDEX(ref_scn_cost,3)</f>
        <v>0</v>
      </c>
      <c r="DD203" s="69">
        <f>INDEX(inp_ox_payroll,24)*INDEX(ref_scn_cost,3)</f>
        <v>0</v>
      </c>
      <c r="DE203" s="70">
        <f t="shared" ref="DE203:DE211" si="117">SUM(CG203:CR203)</f>
        <v>0</v>
      </c>
      <c r="DF203" s="70">
        <f t="shared" ref="DF203:DF211" si="118">SUM(CS203:DD203)</f>
        <v>0</v>
      </c>
      <c r="DG203"/>
      <c r="DH203"/>
    </row>
    <row r="204" spans="1:112" hidden="1" x14ac:dyDescent="0.2">
      <c r="A204" s="2"/>
      <c r="B204" s="35" t="s">
        <v>126</v>
      </c>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69">
        <f>INDEX(inp_ox_rent,1)*INDEX(ref_scn_cost,1)</f>
        <v>0</v>
      </c>
      <c r="AF204" s="69">
        <f>INDEX(inp_ox_rent,2)*INDEX(ref_scn_cost,1)</f>
        <v>0</v>
      </c>
      <c r="AG204" s="69">
        <f>INDEX(inp_ox_rent,3)*INDEX(ref_scn_cost,1)</f>
        <v>0</v>
      </c>
      <c r="AH204" s="69">
        <f>INDEX(inp_ox_rent,4)*INDEX(ref_scn_cost,1)</f>
        <v>0</v>
      </c>
      <c r="AI204" s="69">
        <f>INDEX(inp_ox_rent,5)*INDEX(ref_scn_cost,1)</f>
        <v>0</v>
      </c>
      <c r="AJ204" s="69">
        <f>INDEX(inp_ox_rent,6)*INDEX(ref_scn_cost,1)</f>
        <v>0</v>
      </c>
      <c r="AK204" s="69">
        <f>INDEX(inp_ox_rent,7)*INDEX(ref_scn_cost,1)</f>
        <v>0</v>
      </c>
      <c r="AL204" s="69">
        <f>INDEX(inp_ox_rent,8)*INDEX(ref_scn_cost,1)</f>
        <v>0</v>
      </c>
      <c r="AM204" s="69">
        <f>INDEX(inp_ox_rent,9)*INDEX(ref_scn_cost,1)</f>
        <v>0</v>
      </c>
      <c r="AN204" s="69">
        <f>INDEX(inp_ox_rent,10)*INDEX(ref_scn_cost,1)</f>
        <v>0</v>
      </c>
      <c r="AO204" s="69">
        <f>INDEX(inp_ox_rent,11)*INDEX(ref_scn_cost,1)</f>
        <v>0</v>
      </c>
      <c r="AP204" s="69">
        <f>INDEX(inp_ox_rent,12)*INDEX(ref_scn_cost,1)</f>
        <v>0</v>
      </c>
      <c r="AQ204" s="69">
        <f>INDEX(inp_ox_rent,13)*INDEX(ref_scn_cost,1)</f>
        <v>0</v>
      </c>
      <c r="AR204" s="69">
        <f>INDEX(inp_ox_rent,14)*INDEX(ref_scn_cost,1)</f>
        <v>0</v>
      </c>
      <c r="AS204" s="69">
        <f>INDEX(inp_ox_rent,15)*INDEX(ref_scn_cost,1)</f>
        <v>0</v>
      </c>
      <c r="AT204" s="69">
        <f>INDEX(inp_ox_rent,16)*INDEX(ref_scn_cost,1)</f>
        <v>0</v>
      </c>
      <c r="AU204" s="69">
        <f>INDEX(inp_ox_rent,17)*INDEX(ref_scn_cost,1)</f>
        <v>0</v>
      </c>
      <c r="AV204" s="69">
        <f>INDEX(inp_ox_rent,18)*INDEX(ref_scn_cost,1)</f>
        <v>0</v>
      </c>
      <c r="AW204" s="69">
        <f>INDEX(inp_ox_rent,19)*INDEX(ref_scn_cost,1)</f>
        <v>0</v>
      </c>
      <c r="AX204" s="69">
        <f>INDEX(inp_ox_rent,20)*INDEX(ref_scn_cost,1)</f>
        <v>0</v>
      </c>
      <c r="AY204" s="69">
        <f>INDEX(inp_ox_rent,21)*INDEX(ref_scn_cost,1)</f>
        <v>0</v>
      </c>
      <c r="AZ204" s="69">
        <f>INDEX(inp_ox_rent,22)*INDEX(ref_scn_cost,1)</f>
        <v>0</v>
      </c>
      <c r="BA204" s="69">
        <f>INDEX(inp_ox_rent,23)*INDEX(ref_scn_cost,1)</f>
        <v>0</v>
      </c>
      <c r="BB204" s="69">
        <f>INDEX(inp_ox_rent,24)*INDEX(ref_scn_cost,1)</f>
        <v>0</v>
      </c>
      <c r="BC204" s="70">
        <f t="shared" si="113"/>
        <v>0</v>
      </c>
      <c r="BD204" s="70">
        <f t="shared" si="114"/>
        <v>0</v>
      </c>
      <c r="BE204" s="2"/>
      <c r="BF204" s="69">
        <f>INDEX(inp_ox_rent,1)*INDEX(ref_scn_cost,2)</f>
        <v>0</v>
      </c>
      <c r="BG204" s="69">
        <f>INDEX(inp_ox_rent,2)*INDEX(ref_scn_cost,2)</f>
        <v>0</v>
      </c>
      <c r="BH204" s="69">
        <f>INDEX(inp_ox_rent,3)*INDEX(ref_scn_cost,2)</f>
        <v>0</v>
      </c>
      <c r="BI204" s="69">
        <f>INDEX(inp_ox_rent,4)*INDEX(ref_scn_cost,2)</f>
        <v>0</v>
      </c>
      <c r="BJ204" s="69">
        <f>INDEX(inp_ox_rent,5)*INDEX(ref_scn_cost,2)</f>
        <v>0</v>
      </c>
      <c r="BK204" s="69">
        <f>INDEX(inp_ox_rent,6)*INDEX(ref_scn_cost,2)</f>
        <v>0</v>
      </c>
      <c r="BL204" s="69">
        <f>INDEX(inp_ox_rent,7)*INDEX(ref_scn_cost,2)</f>
        <v>0</v>
      </c>
      <c r="BM204" s="69">
        <f>INDEX(inp_ox_rent,8)*INDEX(ref_scn_cost,2)</f>
        <v>0</v>
      </c>
      <c r="BN204" s="69">
        <f>INDEX(inp_ox_rent,9)*INDEX(ref_scn_cost,2)</f>
        <v>0</v>
      </c>
      <c r="BO204" s="69">
        <f>INDEX(inp_ox_rent,10)*INDEX(ref_scn_cost,2)</f>
        <v>0</v>
      </c>
      <c r="BP204" s="69">
        <f>INDEX(inp_ox_rent,11)*INDEX(ref_scn_cost,2)</f>
        <v>0</v>
      </c>
      <c r="BQ204" s="69">
        <f>INDEX(inp_ox_rent,12)*INDEX(ref_scn_cost,2)</f>
        <v>0</v>
      </c>
      <c r="BR204" s="69">
        <f>INDEX(inp_ox_rent,13)*INDEX(ref_scn_cost,2)</f>
        <v>0</v>
      </c>
      <c r="BS204" s="69">
        <f>INDEX(inp_ox_rent,14)*INDEX(ref_scn_cost,2)</f>
        <v>0</v>
      </c>
      <c r="BT204" s="69">
        <f>INDEX(inp_ox_rent,15)*INDEX(ref_scn_cost,2)</f>
        <v>0</v>
      </c>
      <c r="BU204" s="69">
        <f>INDEX(inp_ox_rent,16)*INDEX(ref_scn_cost,2)</f>
        <v>0</v>
      </c>
      <c r="BV204" s="69">
        <f>INDEX(inp_ox_rent,17)*INDEX(ref_scn_cost,2)</f>
        <v>0</v>
      </c>
      <c r="BW204" s="69">
        <f>INDEX(inp_ox_rent,18)*INDEX(ref_scn_cost,2)</f>
        <v>0</v>
      </c>
      <c r="BX204" s="69">
        <f>INDEX(inp_ox_rent,19)*INDEX(ref_scn_cost,2)</f>
        <v>0</v>
      </c>
      <c r="BY204" s="69">
        <f>INDEX(inp_ox_rent,20)*INDEX(ref_scn_cost,2)</f>
        <v>0</v>
      </c>
      <c r="BZ204" s="69">
        <f>INDEX(inp_ox_rent,21)*INDEX(ref_scn_cost,2)</f>
        <v>0</v>
      </c>
      <c r="CA204" s="69">
        <f>INDEX(inp_ox_rent,22)*INDEX(ref_scn_cost,2)</f>
        <v>0</v>
      </c>
      <c r="CB204" s="69">
        <f>INDEX(inp_ox_rent,23)*INDEX(ref_scn_cost,2)</f>
        <v>0</v>
      </c>
      <c r="CC204" s="69">
        <f>INDEX(inp_ox_rent,24)*INDEX(ref_scn_cost,2)</f>
        <v>0</v>
      </c>
      <c r="CD204" s="70">
        <f t="shared" si="115"/>
        <v>0</v>
      </c>
      <c r="CE204" s="70">
        <f t="shared" si="116"/>
        <v>0</v>
      </c>
      <c r="CF204" s="2"/>
      <c r="CG204" s="69">
        <f>INDEX(inp_ox_rent,1)*INDEX(ref_scn_cost,3)</f>
        <v>0</v>
      </c>
      <c r="CH204" s="69">
        <f>INDEX(inp_ox_rent,2)*INDEX(ref_scn_cost,3)</f>
        <v>0</v>
      </c>
      <c r="CI204" s="69">
        <f>INDEX(inp_ox_rent,3)*INDEX(ref_scn_cost,3)</f>
        <v>0</v>
      </c>
      <c r="CJ204" s="69">
        <f>INDEX(inp_ox_rent,4)*INDEX(ref_scn_cost,3)</f>
        <v>0</v>
      </c>
      <c r="CK204" s="69">
        <f>INDEX(inp_ox_rent,5)*INDEX(ref_scn_cost,3)</f>
        <v>0</v>
      </c>
      <c r="CL204" s="69">
        <f>INDEX(inp_ox_rent,6)*INDEX(ref_scn_cost,3)</f>
        <v>0</v>
      </c>
      <c r="CM204" s="69">
        <f>INDEX(inp_ox_rent,7)*INDEX(ref_scn_cost,3)</f>
        <v>0</v>
      </c>
      <c r="CN204" s="69">
        <f>INDEX(inp_ox_rent,8)*INDEX(ref_scn_cost,3)</f>
        <v>0</v>
      </c>
      <c r="CO204" s="69">
        <f>INDEX(inp_ox_rent,9)*INDEX(ref_scn_cost,3)</f>
        <v>0</v>
      </c>
      <c r="CP204" s="69">
        <f>INDEX(inp_ox_rent,10)*INDEX(ref_scn_cost,3)</f>
        <v>0</v>
      </c>
      <c r="CQ204" s="69">
        <f>INDEX(inp_ox_rent,11)*INDEX(ref_scn_cost,3)</f>
        <v>0</v>
      </c>
      <c r="CR204" s="69">
        <f>INDEX(inp_ox_rent,12)*INDEX(ref_scn_cost,3)</f>
        <v>0</v>
      </c>
      <c r="CS204" s="69">
        <f>INDEX(inp_ox_rent,13)*INDEX(ref_scn_cost,3)</f>
        <v>0</v>
      </c>
      <c r="CT204" s="69">
        <f>INDEX(inp_ox_rent,14)*INDEX(ref_scn_cost,3)</f>
        <v>0</v>
      </c>
      <c r="CU204" s="69">
        <f>INDEX(inp_ox_rent,15)*INDEX(ref_scn_cost,3)</f>
        <v>0</v>
      </c>
      <c r="CV204" s="69">
        <f>INDEX(inp_ox_rent,16)*INDEX(ref_scn_cost,3)</f>
        <v>0</v>
      </c>
      <c r="CW204" s="69">
        <f>INDEX(inp_ox_rent,17)*INDEX(ref_scn_cost,3)</f>
        <v>0</v>
      </c>
      <c r="CX204" s="69">
        <f>INDEX(inp_ox_rent,18)*INDEX(ref_scn_cost,3)</f>
        <v>0</v>
      </c>
      <c r="CY204" s="69">
        <f>INDEX(inp_ox_rent,19)*INDEX(ref_scn_cost,3)</f>
        <v>0</v>
      </c>
      <c r="CZ204" s="69">
        <f>INDEX(inp_ox_rent,20)*INDEX(ref_scn_cost,3)</f>
        <v>0</v>
      </c>
      <c r="DA204" s="69">
        <f>INDEX(inp_ox_rent,21)*INDEX(ref_scn_cost,3)</f>
        <v>0</v>
      </c>
      <c r="DB204" s="69">
        <f>INDEX(inp_ox_rent,22)*INDEX(ref_scn_cost,3)</f>
        <v>0</v>
      </c>
      <c r="DC204" s="69">
        <f>INDEX(inp_ox_rent,23)*INDEX(ref_scn_cost,3)</f>
        <v>0</v>
      </c>
      <c r="DD204" s="69">
        <f>INDEX(inp_ox_rent,24)*INDEX(ref_scn_cost,3)</f>
        <v>0</v>
      </c>
      <c r="DE204" s="70">
        <f t="shared" si="117"/>
        <v>0</v>
      </c>
      <c r="DF204" s="70">
        <f t="shared" si="118"/>
        <v>0</v>
      </c>
      <c r="DG204"/>
      <c r="DH204"/>
    </row>
    <row r="205" spans="1:112" hidden="1" x14ac:dyDescent="0.2">
      <c r="A205" s="2"/>
      <c r="B205" s="35" t="s">
        <v>127</v>
      </c>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69">
        <f>INDEX(inp_ox_software,1)*INDEX(ref_scn_cost,1)</f>
        <v>0</v>
      </c>
      <c r="AF205" s="69">
        <f>INDEX(inp_ox_software,2)*INDEX(ref_scn_cost,1)</f>
        <v>0</v>
      </c>
      <c r="AG205" s="69">
        <f>INDEX(inp_ox_software,3)*INDEX(ref_scn_cost,1)</f>
        <v>0</v>
      </c>
      <c r="AH205" s="69">
        <f>INDEX(inp_ox_software,4)*INDEX(ref_scn_cost,1)</f>
        <v>0</v>
      </c>
      <c r="AI205" s="69">
        <f>INDEX(inp_ox_software,5)*INDEX(ref_scn_cost,1)</f>
        <v>0</v>
      </c>
      <c r="AJ205" s="69">
        <f>INDEX(inp_ox_software,6)*INDEX(ref_scn_cost,1)</f>
        <v>0</v>
      </c>
      <c r="AK205" s="69">
        <f>INDEX(inp_ox_software,7)*INDEX(ref_scn_cost,1)</f>
        <v>0</v>
      </c>
      <c r="AL205" s="69">
        <f>INDEX(inp_ox_software,8)*INDEX(ref_scn_cost,1)</f>
        <v>0</v>
      </c>
      <c r="AM205" s="69">
        <f>INDEX(inp_ox_software,9)*INDEX(ref_scn_cost,1)</f>
        <v>0</v>
      </c>
      <c r="AN205" s="69">
        <f>INDEX(inp_ox_software,10)*INDEX(ref_scn_cost,1)</f>
        <v>0</v>
      </c>
      <c r="AO205" s="69">
        <f>INDEX(inp_ox_software,11)*INDEX(ref_scn_cost,1)</f>
        <v>0</v>
      </c>
      <c r="AP205" s="69">
        <f>INDEX(inp_ox_software,12)*INDEX(ref_scn_cost,1)</f>
        <v>0</v>
      </c>
      <c r="AQ205" s="69">
        <f>INDEX(inp_ox_software,13)*INDEX(ref_scn_cost,1)</f>
        <v>0</v>
      </c>
      <c r="AR205" s="69">
        <f>INDEX(inp_ox_software,14)*INDEX(ref_scn_cost,1)</f>
        <v>0</v>
      </c>
      <c r="AS205" s="69">
        <f>INDEX(inp_ox_software,15)*INDEX(ref_scn_cost,1)</f>
        <v>0</v>
      </c>
      <c r="AT205" s="69">
        <f>INDEX(inp_ox_software,16)*INDEX(ref_scn_cost,1)</f>
        <v>0</v>
      </c>
      <c r="AU205" s="69">
        <f>INDEX(inp_ox_software,17)*INDEX(ref_scn_cost,1)</f>
        <v>0</v>
      </c>
      <c r="AV205" s="69">
        <f>INDEX(inp_ox_software,18)*INDEX(ref_scn_cost,1)</f>
        <v>0</v>
      </c>
      <c r="AW205" s="69">
        <f>INDEX(inp_ox_software,19)*INDEX(ref_scn_cost,1)</f>
        <v>0</v>
      </c>
      <c r="AX205" s="69">
        <f>INDEX(inp_ox_software,20)*INDEX(ref_scn_cost,1)</f>
        <v>0</v>
      </c>
      <c r="AY205" s="69">
        <f>INDEX(inp_ox_software,21)*INDEX(ref_scn_cost,1)</f>
        <v>0</v>
      </c>
      <c r="AZ205" s="69">
        <f>INDEX(inp_ox_software,22)*INDEX(ref_scn_cost,1)</f>
        <v>0</v>
      </c>
      <c r="BA205" s="69">
        <f>INDEX(inp_ox_software,23)*INDEX(ref_scn_cost,1)</f>
        <v>0</v>
      </c>
      <c r="BB205" s="69">
        <f>INDEX(inp_ox_software,24)*INDEX(ref_scn_cost,1)</f>
        <v>0</v>
      </c>
      <c r="BC205" s="70">
        <f t="shared" si="113"/>
        <v>0</v>
      </c>
      <c r="BD205" s="70">
        <f t="shared" si="114"/>
        <v>0</v>
      </c>
      <c r="BE205" s="2"/>
      <c r="BF205" s="69">
        <f>INDEX(inp_ox_software,1)*INDEX(ref_scn_cost,2)</f>
        <v>0</v>
      </c>
      <c r="BG205" s="69">
        <f>INDEX(inp_ox_software,2)*INDEX(ref_scn_cost,2)</f>
        <v>0</v>
      </c>
      <c r="BH205" s="69">
        <f>INDEX(inp_ox_software,3)*INDEX(ref_scn_cost,2)</f>
        <v>0</v>
      </c>
      <c r="BI205" s="69">
        <f>INDEX(inp_ox_software,4)*INDEX(ref_scn_cost,2)</f>
        <v>0</v>
      </c>
      <c r="BJ205" s="69">
        <f>INDEX(inp_ox_software,5)*INDEX(ref_scn_cost,2)</f>
        <v>0</v>
      </c>
      <c r="BK205" s="69">
        <f>INDEX(inp_ox_software,6)*INDEX(ref_scn_cost,2)</f>
        <v>0</v>
      </c>
      <c r="BL205" s="69">
        <f>INDEX(inp_ox_software,7)*INDEX(ref_scn_cost,2)</f>
        <v>0</v>
      </c>
      <c r="BM205" s="69">
        <f>INDEX(inp_ox_software,8)*INDEX(ref_scn_cost,2)</f>
        <v>0</v>
      </c>
      <c r="BN205" s="69">
        <f>INDEX(inp_ox_software,9)*INDEX(ref_scn_cost,2)</f>
        <v>0</v>
      </c>
      <c r="BO205" s="69">
        <f>INDEX(inp_ox_software,10)*INDEX(ref_scn_cost,2)</f>
        <v>0</v>
      </c>
      <c r="BP205" s="69">
        <f>INDEX(inp_ox_software,11)*INDEX(ref_scn_cost,2)</f>
        <v>0</v>
      </c>
      <c r="BQ205" s="69">
        <f>INDEX(inp_ox_software,12)*INDEX(ref_scn_cost,2)</f>
        <v>0</v>
      </c>
      <c r="BR205" s="69">
        <f>INDEX(inp_ox_software,13)*INDEX(ref_scn_cost,2)</f>
        <v>0</v>
      </c>
      <c r="BS205" s="69">
        <f>INDEX(inp_ox_software,14)*INDEX(ref_scn_cost,2)</f>
        <v>0</v>
      </c>
      <c r="BT205" s="69">
        <f>INDEX(inp_ox_software,15)*INDEX(ref_scn_cost,2)</f>
        <v>0</v>
      </c>
      <c r="BU205" s="69">
        <f>INDEX(inp_ox_software,16)*INDEX(ref_scn_cost,2)</f>
        <v>0</v>
      </c>
      <c r="BV205" s="69">
        <f>INDEX(inp_ox_software,17)*INDEX(ref_scn_cost,2)</f>
        <v>0</v>
      </c>
      <c r="BW205" s="69">
        <f>INDEX(inp_ox_software,18)*INDEX(ref_scn_cost,2)</f>
        <v>0</v>
      </c>
      <c r="BX205" s="69">
        <f>INDEX(inp_ox_software,19)*INDEX(ref_scn_cost,2)</f>
        <v>0</v>
      </c>
      <c r="BY205" s="69">
        <f>INDEX(inp_ox_software,20)*INDEX(ref_scn_cost,2)</f>
        <v>0</v>
      </c>
      <c r="BZ205" s="69">
        <f>INDEX(inp_ox_software,21)*INDEX(ref_scn_cost,2)</f>
        <v>0</v>
      </c>
      <c r="CA205" s="69">
        <f>INDEX(inp_ox_software,22)*INDEX(ref_scn_cost,2)</f>
        <v>0</v>
      </c>
      <c r="CB205" s="69">
        <f>INDEX(inp_ox_software,23)*INDEX(ref_scn_cost,2)</f>
        <v>0</v>
      </c>
      <c r="CC205" s="69">
        <f>INDEX(inp_ox_software,24)*INDEX(ref_scn_cost,2)</f>
        <v>0</v>
      </c>
      <c r="CD205" s="70">
        <f t="shared" si="115"/>
        <v>0</v>
      </c>
      <c r="CE205" s="70">
        <f t="shared" si="116"/>
        <v>0</v>
      </c>
      <c r="CF205" s="2"/>
      <c r="CG205" s="69">
        <f>INDEX(inp_ox_software,1)*INDEX(ref_scn_cost,3)</f>
        <v>0</v>
      </c>
      <c r="CH205" s="69">
        <f>INDEX(inp_ox_software,2)*INDEX(ref_scn_cost,3)</f>
        <v>0</v>
      </c>
      <c r="CI205" s="69">
        <f>INDEX(inp_ox_software,3)*INDEX(ref_scn_cost,3)</f>
        <v>0</v>
      </c>
      <c r="CJ205" s="69">
        <f>INDEX(inp_ox_software,4)*INDEX(ref_scn_cost,3)</f>
        <v>0</v>
      </c>
      <c r="CK205" s="69">
        <f>INDEX(inp_ox_software,5)*INDEX(ref_scn_cost,3)</f>
        <v>0</v>
      </c>
      <c r="CL205" s="69">
        <f>INDEX(inp_ox_software,6)*INDEX(ref_scn_cost,3)</f>
        <v>0</v>
      </c>
      <c r="CM205" s="69">
        <f>INDEX(inp_ox_software,7)*INDEX(ref_scn_cost,3)</f>
        <v>0</v>
      </c>
      <c r="CN205" s="69">
        <f>INDEX(inp_ox_software,8)*INDEX(ref_scn_cost,3)</f>
        <v>0</v>
      </c>
      <c r="CO205" s="69">
        <f>INDEX(inp_ox_software,9)*INDEX(ref_scn_cost,3)</f>
        <v>0</v>
      </c>
      <c r="CP205" s="69">
        <f>INDEX(inp_ox_software,10)*INDEX(ref_scn_cost,3)</f>
        <v>0</v>
      </c>
      <c r="CQ205" s="69">
        <f>INDEX(inp_ox_software,11)*INDEX(ref_scn_cost,3)</f>
        <v>0</v>
      </c>
      <c r="CR205" s="69">
        <f>INDEX(inp_ox_software,12)*INDEX(ref_scn_cost,3)</f>
        <v>0</v>
      </c>
      <c r="CS205" s="69">
        <f>INDEX(inp_ox_software,13)*INDEX(ref_scn_cost,3)</f>
        <v>0</v>
      </c>
      <c r="CT205" s="69">
        <f>INDEX(inp_ox_software,14)*INDEX(ref_scn_cost,3)</f>
        <v>0</v>
      </c>
      <c r="CU205" s="69">
        <f>INDEX(inp_ox_software,15)*INDEX(ref_scn_cost,3)</f>
        <v>0</v>
      </c>
      <c r="CV205" s="69">
        <f>INDEX(inp_ox_software,16)*INDEX(ref_scn_cost,3)</f>
        <v>0</v>
      </c>
      <c r="CW205" s="69">
        <f>INDEX(inp_ox_software,17)*INDEX(ref_scn_cost,3)</f>
        <v>0</v>
      </c>
      <c r="CX205" s="69">
        <f>INDEX(inp_ox_software,18)*INDEX(ref_scn_cost,3)</f>
        <v>0</v>
      </c>
      <c r="CY205" s="69">
        <f>INDEX(inp_ox_software,19)*INDEX(ref_scn_cost,3)</f>
        <v>0</v>
      </c>
      <c r="CZ205" s="69">
        <f>INDEX(inp_ox_software,20)*INDEX(ref_scn_cost,3)</f>
        <v>0</v>
      </c>
      <c r="DA205" s="69">
        <f>INDEX(inp_ox_software,21)*INDEX(ref_scn_cost,3)</f>
        <v>0</v>
      </c>
      <c r="DB205" s="69">
        <f>INDEX(inp_ox_software,22)*INDEX(ref_scn_cost,3)</f>
        <v>0</v>
      </c>
      <c r="DC205" s="69">
        <f>INDEX(inp_ox_software,23)*INDEX(ref_scn_cost,3)</f>
        <v>0</v>
      </c>
      <c r="DD205" s="69">
        <f>INDEX(inp_ox_software,24)*INDEX(ref_scn_cost,3)</f>
        <v>0</v>
      </c>
      <c r="DE205" s="70">
        <f t="shared" si="117"/>
        <v>0</v>
      </c>
      <c r="DF205" s="70">
        <f t="shared" si="118"/>
        <v>0</v>
      </c>
      <c r="DG205"/>
      <c r="DH205"/>
    </row>
    <row r="206" spans="1:112" hidden="1" x14ac:dyDescent="0.2">
      <c r="A206" s="2"/>
      <c r="B206" s="35" t="s">
        <v>128</v>
      </c>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69">
        <f>INDEX(inp_ox_sales_mktg,1)*INDEX(ref_scn_cost,1)</f>
        <v>0</v>
      </c>
      <c r="AF206" s="69">
        <f>INDEX(inp_ox_sales_mktg,2)*INDEX(ref_scn_cost,1)</f>
        <v>0</v>
      </c>
      <c r="AG206" s="69">
        <f>INDEX(inp_ox_sales_mktg,3)*INDEX(ref_scn_cost,1)</f>
        <v>0</v>
      </c>
      <c r="AH206" s="69">
        <f>INDEX(inp_ox_sales_mktg,4)*INDEX(ref_scn_cost,1)</f>
        <v>0</v>
      </c>
      <c r="AI206" s="69">
        <f>INDEX(inp_ox_sales_mktg,5)*INDEX(ref_scn_cost,1)</f>
        <v>0</v>
      </c>
      <c r="AJ206" s="69">
        <f>INDEX(inp_ox_sales_mktg,6)*INDEX(ref_scn_cost,1)</f>
        <v>0</v>
      </c>
      <c r="AK206" s="69">
        <f>INDEX(inp_ox_sales_mktg,7)*INDEX(ref_scn_cost,1)</f>
        <v>0</v>
      </c>
      <c r="AL206" s="69">
        <f>INDEX(inp_ox_sales_mktg,8)*INDEX(ref_scn_cost,1)</f>
        <v>0</v>
      </c>
      <c r="AM206" s="69">
        <f>INDEX(inp_ox_sales_mktg,9)*INDEX(ref_scn_cost,1)</f>
        <v>0</v>
      </c>
      <c r="AN206" s="69">
        <f>INDEX(inp_ox_sales_mktg,10)*INDEX(ref_scn_cost,1)</f>
        <v>0</v>
      </c>
      <c r="AO206" s="69">
        <f>INDEX(inp_ox_sales_mktg,11)*INDEX(ref_scn_cost,1)</f>
        <v>0</v>
      </c>
      <c r="AP206" s="69">
        <f>INDEX(inp_ox_sales_mktg,12)*INDEX(ref_scn_cost,1)</f>
        <v>0</v>
      </c>
      <c r="AQ206" s="69">
        <f>INDEX(inp_ox_sales_mktg,13)*INDEX(ref_scn_cost,1)</f>
        <v>0</v>
      </c>
      <c r="AR206" s="69">
        <f>INDEX(inp_ox_sales_mktg,14)*INDEX(ref_scn_cost,1)</f>
        <v>0</v>
      </c>
      <c r="AS206" s="69">
        <f>INDEX(inp_ox_sales_mktg,15)*INDEX(ref_scn_cost,1)</f>
        <v>0</v>
      </c>
      <c r="AT206" s="69">
        <f>INDEX(inp_ox_sales_mktg,16)*INDEX(ref_scn_cost,1)</f>
        <v>0</v>
      </c>
      <c r="AU206" s="69">
        <f>INDEX(inp_ox_sales_mktg,17)*INDEX(ref_scn_cost,1)</f>
        <v>0</v>
      </c>
      <c r="AV206" s="69">
        <f>INDEX(inp_ox_sales_mktg,18)*INDEX(ref_scn_cost,1)</f>
        <v>0</v>
      </c>
      <c r="AW206" s="69">
        <f>INDEX(inp_ox_sales_mktg,19)*INDEX(ref_scn_cost,1)</f>
        <v>0</v>
      </c>
      <c r="AX206" s="69">
        <f>INDEX(inp_ox_sales_mktg,20)*INDEX(ref_scn_cost,1)</f>
        <v>0</v>
      </c>
      <c r="AY206" s="69">
        <f>INDEX(inp_ox_sales_mktg,21)*INDEX(ref_scn_cost,1)</f>
        <v>0</v>
      </c>
      <c r="AZ206" s="69">
        <f>INDEX(inp_ox_sales_mktg,22)*INDEX(ref_scn_cost,1)</f>
        <v>0</v>
      </c>
      <c r="BA206" s="69">
        <f>INDEX(inp_ox_sales_mktg,23)*INDEX(ref_scn_cost,1)</f>
        <v>0</v>
      </c>
      <c r="BB206" s="69">
        <f>INDEX(inp_ox_sales_mktg,24)*INDEX(ref_scn_cost,1)</f>
        <v>0</v>
      </c>
      <c r="BC206" s="70">
        <f t="shared" si="113"/>
        <v>0</v>
      </c>
      <c r="BD206" s="70">
        <f t="shared" si="114"/>
        <v>0</v>
      </c>
      <c r="BE206" s="2"/>
      <c r="BF206" s="69">
        <f>INDEX(inp_ox_sales_mktg,1)*INDEX(ref_scn_cost,2)</f>
        <v>0</v>
      </c>
      <c r="BG206" s="69">
        <f>INDEX(inp_ox_sales_mktg,2)*INDEX(ref_scn_cost,2)</f>
        <v>0</v>
      </c>
      <c r="BH206" s="69">
        <f>INDEX(inp_ox_sales_mktg,3)*INDEX(ref_scn_cost,2)</f>
        <v>0</v>
      </c>
      <c r="BI206" s="69">
        <f>INDEX(inp_ox_sales_mktg,4)*INDEX(ref_scn_cost,2)</f>
        <v>0</v>
      </c>
      <c r="BJ206" s="69">
        <f>INDEX(inp_ox_sales_mktg,5)*INDEX(ref_scn_cost,2)</f>
        <v>0</v>
      </c>
      <c r="BK206" s="69">
        <f>INDEX(inp_ox_sales_mktg,6)*INDEX(ref_scn_cost,2)</f>
        <v>0</v>
      </c>
      <c r="BL206" s="69">
        <f>INDEX(inp_ox_sales_mktg,7)*INDEX(ref_scn_cost,2)</f>
        <v>0</v>
      </c>
      <c r="BM206" s="69">
        <f>INDEX(inp_ox_sales_mktg,8)*INDEX(ref_scn_cost,2)</f>
        <v>0</v>
      </c>
      <c r="BN206" s="69">
        <f>INDEX(inp_ox_sales_mktg,9)*INDEX(ref_scn_cost,2)</f>
        <v>0</v>
      </c>
      <c r="BO206" s="69">
        <f>INDEX(inp_ox_sales_mktg,10)*INDEX(ref_scn_cost,2)</f>
        <v>0</v>
      </c>
      <c r="BP206" s="69">
        <f>INDEX(inp_ox_sales_mktg,11)*INDEX(ref_scn_cost,2)</f>
        <v>0</v>
      </c>
      <c r="BQ206" s="69">
        <f>INDEX(inp_ox_sales_mktg,12)*INDEX(ref_scn_cost,2)</f>
        <v>0</v>
      </c>
      <c r="BR206" s="69">
        <f>INDEX(inp_ox_sales_mktg,13)*INDEX(ref_scn_cost,2)</f>
        <v>0</v>
      </c>
      <c r="BS206" s="69">
        <f>INDEX(inp_ox_sales_mktg,14)*INDEX(ref_scn_cost,2)</f>
        <v>0</v>
      </c>
      <c r="BT206" s="69">
        <f>INDEX(inp_ox_sales_mktg,15)*INDEX(ref_scn_cost,2)</f>
        <v>0</v>
      </c>
      <c r="BU206" s="69">
        <f>INDEX(inp_ox_sales_mktg,16)*INDEX(ref_scn_cost,2)</f>
        <v>0</v>
      </c>
      <c r="BV206" s="69">
        <f>INDEX(inp_ox_sales_mktg,17)*INDEX(ref_scn_cost,2)</f>
        <v>0</v>
      </c>
      <c r="BW206" s="69">
        <f>INDEX(inp_ox_sales_mktg,18)*INDEX(ref_scn_cost,2)</f>
        <v>0</v>
      </c>
      <c r="BX206" s="69">
        <f>INDEX(inp_ox_sales_mktg,19)*INDEX(ref_scn_cost,2)</f>
        <v>0</v>
      </c>
      <c r="BY206" s="69">
        <f>INDEX(inp_ox_sales_mktg,20)*INDEX(ref_scn_cost,2)</f>
        <v>0</v>
      </c>
      <c r="BZ206" s="69">
        <f>INDEX(inp_ox_sales_mktg,21)*INDEX(ref_scn_cost,2)</f>
        <v>0</v>
      </c>
      <c r="CA206" s="69">
        <f>INDEX(inp_ox_sales_mktg,22)*INDEX(ref_scn_cost,2)</f>
        <v>0</v>
      </c>
      <c r="CB206" s="69">
        <f>INDEX(inp_ox_sales_mktg,23)*INDEX(ref_scn_cost,2)</f>
        <v>0</v>
      </c>
      <c r="CC206" s="69">
        <f>INDEX(inp_ox_sales_mktg,24)*INDEX(ref_scn_cost,2)</f>
        <v>0</v>
      </c>
      <c r="CD206" s="70">
        <f t="shared" si="115"/>
        <v>0</v>
      </c>
      <c r="CE206" s="70">
        <f t="shared" si="116"/>
        <v>0</v>
      </c>
      <c r="CF206" s="2"/>
      <c r="CG206" s="69">
        <f>INDEX(inp_ox_sales_mktg,1)*INDEX(ref_scn_cost,3)</f>
        <v>0</v>
      </c>
      <c r="CH206" s="69">
        <f>INDEX(inp_ox_sales_mktg,2)*INDEX(ref_scn_cost,3)</f>
        <v>0</v>
      </c>
      <c r="CI206" s="69">
        <f>INDEX(inp_ox_sales_mktg,3)*INDEX(ref_scn_cost,3)</f>
        <v>0</v>
      </c>
      <c r="CJ206" s="69">
        <f>INDEX(inp_ox_sales_mktg,4)*INDEX(ref_scn_cost,3)</f>
        <v>0</v>
      </c>
      <c r="CK206" s="69">
        <f>INDEX(inp_ox_sales_mktg,5)*INDEX(ref_scn_cost,3)</f>
        <v>0</v>
      </c>
      <c r="CL206" s="69">
        <f>INDEX(inp_ox_sales_mktg,6)*INDEX(ref_scn_cost,3)</f>
        <v>0</v>
      </c>
      <c r="CM206" s="69">
        <f>INDEX(inp_ox_sales_mktg,7)*INDEX(ref_scn_cost,3)</f>
        <v>0</v>
      </c>
      <c r="CN206" s="69">
        <f>INDEX(inp_ox_sales_mktg,8)*INDEX(ref_scn_cost,3)</f>
        <v>0</v>
      </c>
      <c r="CO206" s="69">
        <f>INDEX(inp_ox_sales_mktg,9)*INDEX(ref_scn_cost,3)</f>
        <v>0</v>
      </c>
      <c r="CP206" s="69">
        <f>INDEX(inp_ox_sales_mktg,10)*INDEX(ref_scn_cost,3)</f>
        <v>0</v>
      </c>
      <c r="CQ206" s="69">
        <f>INDEX(inp_ox_sales_mktg,11)*INDEX(ref_scn_cost,3)</f>
        <v>0</v>
      </c>
      <c r="CR206" s="69">
        <f>INDEX(inp_ox_sales_mktg,12)*INDEX(ref_scn_cost,3)</f>
        <v>0</v>
      </c>
      <c r="CS206" s="69">
        <f>INDEX(inp_ox_sales_mktg,13)*INDEX(ref_scn_cost,3)</f>
        <v>0</v>
      </c>
      <c r="CT206" s="69">
        <f>INDEX(inp_ox_sales_mktg,14)*INDEX(ref_scn_cost,3)</f>
        <v>0</v>
      </c>
      <c r="CU206" s="69">
        <f>INDEX(inp_ox_sales_mktg,15)*INDEX(ref_scn_cost,3)</f>
        <v>0</v>
      </c>
      <c r="CV206" s="69">
        <f>INDEX(inp_ox_sales_mktg,16)*INDEX(ref_scn_cost,3)</f>
        <v>0</v>
      </c>
      <c r="CW206" s="69">
        <f>INDEX(inp_ox_sales_mktg,17)*INDEX(ref_scn_cost,3)</f>
        <v>0</v>
      </c>
      <c r="CX206" s="69">
        <f>INDEX(inp_ox_sales_mktg,18)*INDEX(ref_scn_cost,3)</f>
        <v>0</v>
      </c>
      <c r="CY206" s="69">
        <f>INDEX(inp_ox_sales_mktg,19)*INDEX(ref_scn_cost,3)</f>
        <v>0</v>
      </c>
      <c r="CZ206" s="69">
        <f>INDEX(inp_ox_sales_mktg,20)*INDEX(ref_scn_cost,3)</f>
        <v>0</v>
      </c>
      <c r="DA206" s="69">
        <f>INDEX(inp_ox_sales_mktg,21)*INDEX(ref_scn_cost,3)</f>
        <v>0</v>
      </c>
      <c r="DB206" s="69">
        <f>INDEX(inp_ox_sales_mktg,22)*INDEX(ref_scn_cost,3)</f>
        <v>0</v>
      </c>
      <c r="DC206" s="69">
        <f>INDEX(inp_ox_sales_mktg,23)*INDEX(ref_scn_cost,3)</f>
        <v>0</v>
      </c>
      <c r="DD206" s="69">
        <f>INDEX(inp_ox_sales_mktg,24)*INDEX(ref_scn_cost,3)</f>
        <v>0</v>
      </c>
      <c r="DE206" s="70">
        <f t="shared" si="117"/>
        <v>0</v>
      </c>
      <c r="DF206" s="70">
        <f t="shared" si="118"/>
        <v>0</v>
      </c>
      <c r="DG206"/>
      <c r="DH206"/>
    </row>
    <row r="207" spans="1:112" hidden="1" x14ac:dyDescent="0.2">
      <c r="A207" s="2"/>
      <c r="B207" s="35" t="s">
        <v>129</v>
      </c>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69">
        <f>INDEX(inp_ox_prof_fees,1)*INDEX(ref_scn_cost,1)</f>
        <v>0</v>
      </c>
      <c r="AF207" s="69">
        <f>INDEX(inp_ox_prof_fees,2)*INDEX(ref_scn_cost,1)</f>
        <v>0</v>
      </c>
      <c r="AG207" s="69">
        <f>INDEX(inp_ox_prof_fees,3)*INDEX(ref_scn_cost,1)</f>
        <v>0</v>
      </c>
      <c r="AH207" s="69">
        <f>INDEX(inp_ox_prof_fees,4)*INDEX(ref_scn_cost,1)</f>
        <v>0</v>
      </c>
      <c r="AI207" s="69">
        <f>INDEX(inp_ox_prof_fees,5)*INDEX(ref_scn_cost,1)</f>
        <v>0</v>
      </c>
      <c r="AJ207" s="69">
        <f>INDEX(inp_ox_prof_fees,6)*INDEX(ref_scn_cost,1)</f>
        <v>0</v>
      </c>
      <c r="AK207" s="69">
        <f>INDEX(inp_ox_prof_fees,7)*INDEX(ref_scn_cost,1)</f>
        <v>0</v>
      </c>
      <c r="AL207" s="69">
        <f>INDEX(inp_ox_prof_fees,8)*INDEX(ref_scn_cost,1)</f>
        <v>0</v>
      </c>
      <c r="AM207" s="69">
        <f>INDEX(inp_ox_prof_fees,9)*INDEX(ref_scn_cost,1)</f>
        <v>0</v>
      </c>
      <c r="AN207" s="69">
        <f>INDEX(inp_ox_prof_fees,10)*INDEX(ref_scn_cost,1)</f>
        <v>0</v>
      </c>
      <c r="AO207" s="69">
        <f>INDEX(inp_ox_prof_fees,11)*INDEX(ref_scn_cost,1)</f>
        <v>0</v>
      </c>
      <c r="AP207" s="69">
        <f>INDEX(inp_ox_prof_fees,12)*INDEX(ref_scn_cost,1)</f>
        <v>0</v>
      </c>
      <c r="AQ207" s="69">
        <f>INDEX(inp_ox_prof_fees,13)*INDEX(ref_scn_cost,1)</f>
        <v>0</v>
      </c>
      <c r="AR207" s="69">
        <f>INDEX(inp_ox_prof_fees,14)*INDEX(ref_scn_cost,1)</f>
        <v>0</v>
      </c>
      <c r="AS207" s="69">
        <f>INDEX(inp_ox_prof_fees,15)*INDEX(ref_scn_cost,1)</f>
        <v>0</v>
      </c>
      <c r="AT207" s="69">
        <f>INDEX(inp_ox_prof_fees,16)*INDEX(ref_scn_cost,1)</f>
        <v>0</v>
      </c>
      <c r="AU207" s="69">
        <f>INDEX(inp_ox_prof_fees,17)*INDEX(ref_scn_cost,1)</f>
        <v>0</v>
      </c>
      <c r="AV207" s="69">
        <f>INDEX(inp_ox_prof_fees,18)*INDEX(ref_scn_cost,1)</f>
        <v>0</v>
      </c>
      <c r="AW207" s="69">
        <f>INDEX(inp_ox_prof_fees,19)*INDEX(ref_scn_cost,1)</f>
        <v>0</v>
      </c>
      <c r="AX207" s="69">
        <f>INDEX(inp_ox_prof_fees,20)*INDEX(ref_scn_cost,1)</f>
        <v>0</v>
      </c>
      <c r="AY207" s="69">
        <f>INDEX(inp_ox_prof_fees,21)*INDEX(ref_scn_cost,1)</f>
        <v>0</v>
      </c>
      <c r="AZ207" s="69">
        <f>INDEX(inp_ox_prof_fees,22)*INDEX(ref_scn_cost,1)</f>
        <v>0</v>
      </c>
      <c r="BA207" s="69">
        <f>INDEX(inp_ox_prof_fees,23)*INDEX(ref_scn_cost,1)</f>
        <v>0</v>
      </c>
      <c r="BB207" s="69">
        <f>INDEX(inp_ox_prof_fees,24)*INDEX(ref_scn_cost,1)</f>
        <v>0</v>
      </c>
      <c r="BC207" s="70">
        <f t="shared" si="113"/>
        <v>0</v>
      </c>
      <c r="BD207" s="70">
        <f t="shared" si="114"/>
        <v>0</v>
      </c>
      <c r="BE207" s="2"/>
      <c r="BF207" s="69">
        <f>INDEX(inp_ox_prof_fees,1)*INDEX(ref_scn_cost,2)</f>
        <v>0</v>
      </c>
      <c r="BG207" s="69">
        <f>INDEX(inp_ox_prof_fees,2)*INDEX(ref_scn_cost,2)</f>
        <v>0</v>
      </c>
      <c r="BH207" s="69">
        <f>INDEX(inp_ox_prof_fees,3)*INDEX(ref_scn_cost,2)</f>
        <v>0</v>
      </c>
      <c r="BI207" s="69">
        <f>INDEX(inp_ox_prof_fees,4)*INDEX(ref_scn_cost,2)</f>
        <v>0</v>
      </c>
      <c r="BJ207" s="69">
        <f>INDEX(inp_ox_prof_fees,5)*INDEX(ref_scn_cost,2)</f>
        <v>0</v>
      </c>
      <c r="BK207" s="69">
        <f>INDEX(inp_ox_prof_fees,6)*INDEX(ref_scn_cost,2)</f>
        <v>0</v>
      </c>
      <c r="BL207" s="69">
        <f>INDEX(inp_ox_prof_fees,7)*INDEX(ref_scn_cost,2)</f>
        <v>0</v>
      </c>
      <c r="BM207" s="69">
        <f>INDEX(inp_ox_prof_fees,8)*INDEX(ref_scn_cost,2)</f>
        <v>0</v>
      </c>
      <c r="BN207" s="69">
        <f>INDEX(inp_ox_prof_fees,9)*INDEX(ref_scn_cost,2)</f>
        <v>0</v>
      </c>
      <c r="BO207" s="69">
        <f>INDEX(inp_ox_prof_fees,10)*INDEX(ref_scn_cost,2)</f>
        <v>0</v>
      </c>
      <c r="BP207" s="69">
        <f>INDEX(inp_ox_prof_fees,11)*INDEX(ref_scn_cost,2)</f>
        <v>0</v>
      </c>
      <c r="BQ207" s="69">
        <f>INDEX(inp_ox_prof_fees,12)*INDEX(ref_scn_cost,2)</f>
        <v>0</v>
      </c>
      <c r="BR207" s="69">
        <f>INDEX(inp_ox_prof_fees,13)*INDEX(ref_scn_cost,2)</f>
        <v>0</v>
      </c>
      <c r="BS207" s="69">
        <f>INDEX(inp_ox_prof_fees,14)*INDEX(ref_scn_cost,2)</f>
        <v>0</v>
      </c>
      <c r="BT207" s="69">
        <f>INDEX(inp_ox_prof_fees,15)*INDEX(ref_scn_cost,2)</f>
        <v>0</v>
      </c>
      <c r="BU207" s="69">
        <f>INDEX(inp_ox_prof_fees,16)*INDEX(ref_scn_cost,2)</f>
        <v>0</v>
      </c>
      <c r="BV207" s="69">
        <f>INDEX(inp_ox_prof_fees,17)*INDEX(ref_scn_cost,2)</f>
        <v>0</v>
      </c>
      <c r="BW207" s="69">
        <f>INDEX(inp_ox_prof_fees,18)*INDEX(ref_scn_cost,2)</f>
        <v>0</v>
      </c>
      <c r="BX207" s="69">
        <f>INDEX(inp_ox_prof_fees,19)*INDEX(ref_scn_cost,2)</f>
        <v>0</v>
      </c>
      <c r="BY207" s="69">
        <f>INDEX(inp_ox_prof_fees,20)*INDEX(ref_scn_cost,2)</f>
        <v>0</v>
      </c>
      <c r="BZ207" s="69">
        <f>INDEX(inp_ox_prof_fees,21)*INDEX(ref_scn_cost,2)</f>
        <v>0</v>
      </c>
      <c r="CA207" s="69">
        <f>INDEX(inp_ox_prof_fees,22)*INDEX(ref_scn_cost,2)</f>
        <v>0</v>
      </c>
      <c r="CB207" s="69">
        <f>INDEX(inp_ox_prof_fees,23)*INDEX(ref_scn_cost,2)</f>
        <v>0</v>
      </c>
      <c r="CC207" s="69">
        <f>INDEX(inp_ox_prof_fees,24)*INDEX(ref_scn_cost,2)</f>
        <v>0</v>
      </c>
      <c r="CD207" s="70">
        <f t="shared" si="115"/>
        <v>0</v>
      </c>
      <c r="CE207" s="70">
        <f t="shared" si="116"/>
        <v>0</v>
      </c>
      <c r="CF207" s="2"/>
      <c r="CG207" s="69">
        <f>INDEX(inp_ox_prof_fees,1)*INDEX(ref_scn_cost,3)</f>
        <v>0</v>
      </c>
      <c r="CH207" s="69">
        <f>INDEX(inp_ox_prof_fees,2)*INDEX(ref_scn_cost,3)</f>
        <v>0</v>
      </c>
      <c r="CI207" s="69">
        <f>INDEX(inp_ox_prof_fees,3)*INDEX(ref_scn_cost,3)</f>
        <v>0</v>
      </c>
      <c r="CJ207" s="69">
        <f>INDEX(inp_ox_prof_fees,4)*INDEX(ref_scn_cost,3)</f>
        <v>0</v>
      </c>
      <c r="CK207" s="69">
        <f>INDEX(inp_ox_prof_fees,5)*INDEX(ref_scn_cost,3)</f>
        <v>0</v>
      </c>
      <c r="CL207" s="69">
        <f>INDEX(inp_ox_prof_fees,6)*INDEX(ref_scn_cost,3)</f>
        <v>0</v>
      </c>
      <c r="CM207" s="69">
        <f>INDEX(inp_ox_prof_fees,7)*INDEX(ref_scn_cost,3)</f>
        <v>0</v>
      </c>
      <c r="CN207" s="69">
        <f>INDEX(inp_ox_prof_fees,8)*INDEX(ref_scn_cost,3)</f>
        <v>0</v>
      </c>
      <c r="CO207" s="69">
        <f>INDEX(inp_ox_prof_fees,9)*INDEX(ref_scn_cost,3)</f>
        <v>0</v>
      </c>
      <c r="CP207" s="69">
        <f>INDEX(inp_ox_prof_fees,10)*INDEX(ref_scn_cost,3)</f>
        <v>0</v>
      </c>
      <c r="CQ207" s="69">
        <f>INDEX(inp_ox_prof_fees,11)*INDEX(ref_scn_cost,3)</f>
        <v>0</v>
      </c>
      <c r="CR207" s="69">
        <f>INDEX(inp_ox_prof_fees,12)*INDEX(ref_scn_cost,3)</f>
        <v>0</v>
      </c>
      <c r="CS207" s="69">
        <f>INDEX(inp_ox_prof_fees,13)*INDEX(ref_scn_cost,3)</f>
        <v>0</v>
      </c>
      <c r="CT207" s="69">
        <f>INDEX(inp_ox_prof_fees,14)*INDEX(ref_scn_cost,3)</f>
        <v>0</v>
      </c>
      <c r="CU207" s="69">
        <f>INDEX(inp_ox_prof_fees,15)*INDEX(ref_scn_cost,3)</f>
        <v>0</v>
      </c>
      <c r="CV207" s="69">
        <f>INDEX(inp_ox_prof_fees,16)*INDEX(ref_scn_cost,3)</f>
        <v>0</v>
      </c>
      <c r="CW207" s="69">
        <f>INDEX(inp_ox_prof_fees,17)*INDEX(ref_scn_cost,3)</f>
        <v>0</v>
      </c>
      <c r="CX207" s="69">
        <f>INDEX(inp_ox_prof_fees,18)*INDEX(ref_scn_cost,3)</f>
        <v>0</v>
      </c>
      <c r="CY207" s="69">
        <f>INDEX(inp_ox_prof_fees,19)*INDEX(ref_scn_cost,3)</f>
        <v>0</v>
      </c>
      <c r="CZ207" s="69">
        <f>INDEX(inp_ox_prof_fees,20)*INDEX(ref_scn_cost,3)</f>
        <v>0</v>
      </c>
      <c r="DA207" s="69">
        <f>INDEX(inp_ox_prof_fees,21)*INDEX(ref_scn_cost,3)</f>
        <v>0</v>
      </c>
      <c r="DB207" s="69">
        <f>INDEX(inp_ox_prof_fees,22)*INDEX(ref_scn_cost,3)</f>
        <v>0</v>
      </c>
      <c r="DC207" s="69">
        <f>INDEX(inp_ox_prof_fees,23)*INDEX(ref_scn_cost,3)</f>
        <v>0</v>
      </c>
      <c r="DD207" s="69">
        <f>INDEX(inp_ox_prof_fees,24)*INDEX(ref_scn_cost,3)</f>
        <v>0</v>
      </c>
      <c r="DE207" s="70">
        <f t="shared" si="117"/>
        <v>0</v>
      </c>
      <c r="DF207" s="70">
        <f t="shared" si="118"/>
        <v>0</v>
      </c>
      <c r="DG207"/>
      <c r="DH207"/>
    </row>
    <row r="208" spans="1:112" hidden="1" x14ac:dyDescent="0.2">
      <c r="A208" s="2"/>
      <c r="B208" s="35" t="s">
        <v>130</v>
      </c>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69">
        <f>INDEX(inp_ox_insurance,1)*INDEX(ref_scn_cost,1)</f>
        <v>0</v>
      </c>
      <c r="AF208" s="69">
        <f>INDEX(inp_ox_insurance,2)*INDEX(ref_scn_cost,1)</f>
        <v>0</v>
      </c>
      <c r="AG208" s="69">
        <f>INDEX(inp_ox_insurance,3)*INDEX(ref_scn_cost,1)</f>
        <v>0</v>
      </c>
      <c r="AH208" s="69">
        <f>INDEX(inp_ox_insurance,4)*INDEX(ref_scn_cost,1)</f>
        <v>0</v>
      </c>
      <c r="AI208" s="69">
        <f>INDEX(inp_ox_insurance,5)*INDEX(ref_scn_cost,1)</f>
        <v>0</v>
      </c>
      <c r="AJ208" s="69">
        <f>INDEX(inp_ox_insurance,6)*INDEX(ref_scn_cost,1)</f>
        <v>0</v>
      </c>
      <c r="AK208" s="69">
        <f>INDEX(inp_ox_insurance,7)*INDEX(ref_scn_cost,1)</f>
        <v>0</v>
      </c>
      <c r="AL208" s="69">
        <f>INDEX(inp_ox_insurance,8)*INDEX(ref_scn_cost,1)</f>
        <v>0</v>
      </c>
      <c r="AM208" s="69">
        <f>INDEX(inp_ox_insurance,9)*INDEX(ref_scn_cost,1)</f>
        <v>0</v>
      </c>
      <c r="AN208" s="69">
        <f>INDEX(inp_ox_insurance,10)*INDEX(ref_scn_cost,1)</f>
        <v>0</v>
      </c>
      <c r="AO208" s="69">
        <f>INDEX(inp_ox_insurance,11)*INDEX(ref_scn_cost,1)</f>
        <v>0</v>
      </c>
      <c r="AP208" s="69">
        <f>INDEX(inp_ox_insurance,12)*INDEX(ref_scn_cost,1)</f>
        <v>0</v>
      </c>
      <c r="AQ208" s="69">
        <f>INDEX(inp_ox_insurance,13)*INDEX(ref_scn_cost,1)</f>
        <v>0</v>
      </c>
      <c r="AR208" s="69">
        <f>INDEX(inp_ox_insurance,14)*INDEX(ref_scn_cost,1)</f>
        <v>0</v>
      </c>
      <c r="AS208" s="69">
        <f>INDEX(inp_ox_insurance,15)*INDEX(ref_scn_cost,1)</f>
        <v>0</v>
      </c>
      <c r="AT208" s="69">
        <f>INDEX(inp_ox_insurance,16)*INDEX(ref_scn_cost,1)</f>
        <v>0</v>
      </c>
      <c r="AU208" s="69">
        <f>INDEX(inp_ox_insurance,17)*INDEX(ref_scn_cost,1)</f>
        <v>0</v>
      </c>
      <c r="AV208" s="69">
        <f>INDEX(inp_ox_insurance,18)*INDEX(ref_scn_cost,1)</f>
        <v>0</v>
      </c>
      <c r="AW208" s="69">
        <f>INDEX(inp_ox_insurance,19)*INDEX(ref_scn_cost,1)</f>
        <v>0</v>
      </c>
      <c r="AX208" s="69">
        <f>INDEX(inp_ox_insurance,20)*INDEX(ref_scn_cost,1)</f>
        <v>0</v>
      </c>
      <c r="AY208" s="69">
        <f>INDEX(inp_ox_insurance,21)*INDEX(ref_scn_cost,1)</f>
        <v>0</v>
      </c>
      <c r="AZ208" s="69">
        <f>INDEX(inp_ox_insurance,22)*INDEX(ref_scn_cost,1)</f>
        <v>0</v>
      </c>
      <c r="BA208" s="69">
        <f>INDEX(inp_ox_insurance,23)*INDEX(ref_scn_cost,1)</f>
        <v>0</v>
      </c>
      <c r="BB208" s="69">
        <f>INDEX(inp_ox_insurance,24)*INDEX(ref_scn_cost,1)</f>
        <v>0</v>
      </c>
      <c r="BC208" s="70">
        <f t="shared" si="113"/>
        <v>0</v>
      </c>
      <c r="BD208" s="70">
        <f t="shared" si="114"/>
        <v>0</v>
      </c>
      <c r="BE208" s="2"/>
      <c r="BF208" s="69">
        <f>INDEX(inp_ox_insurance,1)*INDEX(ref_scn_cost,2)</f>
        <v>0</v>
      </c>
      <c r="BG208" s="69">
        <f>INDEX(inp_ox_insurance,2)*INDEX(ref_scn_cost,2)</f>
        <v>0</v>
      </c>
      <c r="BH208" s="69">
        <f>INDEX(inp_ox_insurance,3)*INDEX(ref_scn_cost,2)</f>
        <v>0</v>
      </c>
      <c r="BI208" s="69">
        <f>INDEX(inp_ox_insurance,4)*INDEX(ref_scn_cost,2)</f>
        <v>0</v>
      </c>
      <c r="BJ208" s="69">
        <f>INDEX(inp_ox_insurance,5)*INDEX(ref_scn_cost,2)</f>
        <v>0</v>
      </c>
      <c r="BK208" s="69">
        <f>INDEX(inp_ox_insurance,6)*INDEX(ref_scn_cost,2)</f>
        <v>0</v>
      </c>
      <c r="BL208" s="69">
        <f>INDEX(inp_ox_insurance,7)*INDEX(ref_scn_cost,2)</f>
        <v>0</v>
      </c>
      <c r="BM208" s="69">
        <f>INDEX(inp_ox_insurance,8)*INDEX(ref_scn_cost,2)</f>
        <v>0</v>
      </c>
      <c r="BN208" s="69">
        <f>INDEX(inp_ox_insurance,9)*INDEX(ref_scn_cost,2)</f>
        <v>0</v>
      </c>
      <c r="BO208" s="69">
        <f>INDEX(inp_ox_insurance,10)*INDEX(ref_scn_cost,2)</f>
        <v>0</v>
      </c>
      <c r="BP208" s="69">
        <f>INDEX(inp_ox_insurance,11)*INDEX(ref_scn_cost,2)</f>
        <v>0</v>
      </c>
      <c r="BQ208" s="69">
        <f>INDEX(inp_ox_insurance,12)*INDEX(ref_scn_cost,2)</f>
        <v>0</v>
      </c>
      <c r="BR208" s="69">
        <f>INDEX(inp_ox_insurance,13)*INDEX(ref_scn_cost,2)</f>
        <v>0</v>
      </c>
      <c r="BS208" s="69">
        <f>INDEX(inp_ox_insurance,14)*INDEX(ref_scn_cost,2)</f>
        <v>0</v>
      </c>
      <c r="BT208" s="69">
        <f>INDEX(inp_ox_insurance,15)*INDEX(ref_scn_cost,2)</f>
        <v>0</v>
      </c>
      <c r="BU208" s="69">
        <f>INDEX(inp_ox_insurance,16)*INDEX(ref_scn_cost,2)</f>
        <v>0</v>
      </c>
      <c r="BV208" s="69">
        <f>INDEX(inp_ox_insurance,17)*INDEX(ref_scn_cost,2)</f>
        <v>0</v>
      </c>
      <c r="BW208" s="69">
        <f>INDEX(inp_ox_insurance,18)*INDEX(ref_scn_cost,2)</f>
        <v>0</v>
      </c>
      <c r="BX208" s="69">
        <f>INDEX(inp_ox_insurance,19)*INDEX(ref_scn_cost,2)</f>
        <v>0</v>
      </c>
      <c r="BY208" s="69">
        <f>INDEX(inp_ox_insurance,20)*INDEX(ref_scn_cost,2)</f>
        <v>0</v>
      </c>
      <c r="BZ208" s="69">
        <f>INDEX(inp_ox_insurance,21)*INDEX(ref_scn_cost,2)</f>
        <v>0</v>
      </c>
      <c r="CA208" s="69">
        <f>INDEX(inp_ox_insurance,22)*INDEX(ref_scn_cost,2)</f>
        <v>0</v>
      </c>
      <c r="CB208" s="69">
        <f>INDEX(inp_ox_insurance,23)*INDEX(ref_scn_cost,2)</f>
        <v>0</v>
      </c>
      <c r="CC208" s="69">
        <f>INDEX(inp_ox_insurance,24)*INDEX(ref_scn_cost,2)</f>
        <v>0</v>
      </c>
      <c r="CD208" s="70">
        <f t="shared" si="115"/>
        <v>0</v>
      </c>
      <c r="CE208" s="70">
        <f t="shared" si="116"/>
        <v>0</v>
      </c>
      <c r="CF208" s="2"/>
      <c r="CG208" s="69">
        <f>INDEX(inp_ox_insurance,1)*INDEX(ref_scn_cost,3)</f>
        <v>0</v>
      </c>
      <c r="CH208" s="69">
        <f>INDEX(inp_ox_insurance,2)*INDEX(ref_scn_cost,3)</f>
        <v>0</v>
      </c>
      <c r="CI208" s="69">
        <f>INDEX(inp_ox_insurance,3)*INDEX(ref_scn_cost,3)</f>
        <v>0</v>
      </c>
      <c r="CJ208" s="69">
        <f>INDEX(inp_ox_insurance,4)*INDEX(ref_scn_cost,3)</f>
        <v>0</v>
      </c>
      <c r="CK208" s="69">
        <f>INDEX(inp_ox_insurance,5)*INDEX(ref_scn_cost,3)</f>
        <v>0</v>
      </c>
      <c r="CL208" s="69">
        <f>INDEX(inp_ox_insurance,6)*INDEX(ref_scn_cost,3)</f>
        <v>0</v>
      </c>
      <c r="CM208" s="69">
        <f>INDEX(inp_ox_insurance,7)*INDEX(ref_scn_cost,3)</f>
        <v>0</v>
      </c>
      <c r="CN208" s="69">
        <f>INDEX(inp_ox_insurance,8)*INDEX(ref_scn_cost,3)</f>
        <v>0</v>
      </c>
      <c r="CO208" s="69">
        <f>INDEX(inp_ox_insurance,9)*INDEX(ref_scn_cost,3)</f>
        <v>0</v>
      </c>
      <c r="CP208" s="69">
        <f>INDEX(inp_ox_insurance,10)*INDEX(ref_scn_cost,3)</f>
        <v>0</v>
      </c>
      <c r="CQ208" s="69">
        <f>INDEX(inp_ox_insurance,11)*INDEX(ref_scn_cost,3)</f>
        <v>0</v>
      </c>
      <c r="CR208" s="69">
        <f>INDEX(inp_ox_insurance,12)*INDEX(ref_scn_cost,3)</f>
        <v>0</v>
      </c>
      <c r="CS208" s="69">
        <f>INDEX(inp_ox_insurance,13)*INDEX(ref_scn_cost,3)</f>
        <v>0</v>
      </c>
      <c r="CT208" s="69">
        <f>INDEX(inp_ox_insurance,14)*INDEX(ref_scn_cost,3)</f>
        <v>0</v>
      </c>
      <c r="CU208" s="69">
        <f>INDEX(inp_ox_insurance,15)*INDEX(ref_scn_cost,3)</f>
        <v>0</v>
      </c>
      <c r="CV208" s="69">
        <f>INDEX(inp_ox_insurance,16)*INDEX(ref_scn_cost,3)</f>
        <v>0</v>
      </c>
      <c r="CW208" s="69">
        <f>INDEX(inp_ox_insurance,17)*INDEX(ref_scn_cost,3)</f>
        <v>0</v>
      </c>
      <c r="CX208" s="69">
        <f>INDEX(inp_ox_insurance,18)*INDEX(ref_scn_cost,3)</f>
        <v>0</v>
      </c>
      <c r="CY208" s="69">
        <f>INDEX(inp_ox_insurance,19)*INDEX(ref_scn_cost,3)</f>
        <v>0</v>
      </c>
      <c r="CZ208" s="69">
        <f>INDEX(inp_ox_insurance,20)*INDEX(ref_scn_cost,3)</f>
        <v>0</v>
      </c>
      <c r="DA208" s="69">
        <f>INDEX(inp_ox_insurance,21)*INDEX(ref_scn_cost,3)</f>
        <v>0</v>
      </c>
      <c r="DB208" s="69">
        <f>INDEX(inp_ox_insurance,22)*INDEX(ref_scn_cost,3)</f>
        <v>0</v>
      </c>
      <c r="DC208" s="69">
        <f>INDEX(inp_ox_insurance,23)*INDEX(ref_scn_cost,3)</f>
        <v>0</v>
      </c>
      <c r="DD208" s="69">
        <f>INDEX(inp_ox_insurance,24)*INDEX(ref_scn_cost,3)</f>
        <v>0</v>
      </c>
      <c r="DE208" s="70">
        <f t="shared" si="117"/>
        <v>0</v>
      </c>
      <c r="DF208" s="70">
        <f t="shared" si="118"/>
        <v>0</v>
      </c>
      <c r="DG208"/>
      <c r="DH208"/>
    </row>
    <row r="209" spans="1:112" hidden="1" x14ac:dyDescent="0.2">
      <c r="A209" s="2"/>
      <c r="B209" s="35" t="s">
        <v>131</v>
      </c>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69">
        <f>INDEX(inp_ox_other,1)*INDEX(ref_scn_cost,1)</f>
        <v>0</v>
      </c>
      <c r="AF209" s="69">
        <f>INDEX(inp_ox_other,2)*INDEX(ref_scn_cost,1)</f>
        <v>0</v>
      </c>
      <c r="AG209" s="69">
        <f>INDEX(inp_ox_other,3)*INDEX(ref_scn_cost,1)</f>
        <v>0</v>
      </c>
      <c r="AH209" s="69">
        <f>INDEX(inp_ox_other,4)*INDEX(ref_scn_cost,1)</f>
        <v>0</v>
      </c>
      <c r="AI209" s="69">
        <f>INDEX(inp_ox_other,5)*INDEX(ref_scn_cost,1)</f>
        <v>0</v>
      </c>
      <c r="AJ209" s="69">
        <f>INDEX(inp_ox_other,6)*INDEX(ref_scn_cost,1)</f>
        <v>0</v>
      </c>
      <c r="AK209" s="69">
        <f>INDEX(inp_ox_other,7)*INDEX(ref_scn_cost,1)</f>
        <v>0</v>
      </c>
      <c r="AL209" s="69">
        <f>INDEX(inp_ox_other,8)*INDEX(ref_scn_cost,1)</f>
        <v>0</v>
      </c>
      <c r="AM209" s="69">
        <f>INDEX(inp_ox_other,9)*INDEX(ref_scn_cost,1)</f>
        <v>0</v>
      </c>
      <c r="AN209" s="69">
        <f>INDEX(inp_ox_other,10)*INDEX(ref_scn_cost,1)</f>
        <v>0</v>
      </c>
      <c r="AO209" s="69">
        <f>INDEX(inp_ox_other,11)*INDEX(ref_scn_cost,1)</f>
        <v>0</v>
      </c>
      <c r="AP209" s="69">
        <f>INDEX(inp_ox_other,12)*INDEX(ref_scn_cost,1)</f>
        <v>0</v>
      </c>
      <c r="AQ209" s="69">
        <f>INDEX(inp_ox_other,13)*INDEX(ref_scn_cost,1)</f>
        <v>0</v>
      </c>
      <c r="AR209" s="69">
        <f>INDEX(inp_ox_other,14)*INDEX(ref_scn_cost,1)</f>
        <v>0</v>
      </c>
      <c r="AS209" s="69">
        <f>INDEX(inp_ox_other,15)*INDEX(ref_scn_cost,1)</f>
        <v>0</v>
      </c>
      <c r="AT209" s="69">
        <f>INDEX(inp_ox_other,16)*INDEX(ref_scn_cost,1)</f>
        <v>0</v>
      </c>
      <c r="AU209" s="69">
        <f>INDEX(inp_ox_other,17)*INDEX(ref_scn_cost,1)</f>
        <v>0</v>
      </c>
      <c r="AV209" s="69">
        <f>INDEX(inp_ox_other,18)*INDEX(ref_scn_cost,1)</f>
        <v>0</v>
      </c>
      <c r="AW209" s="69">
        <f>INDEX(inp_ox_other,19)*INDEX(ref_scn_cost,1)</f>
        <v>0</v>
      </c>
      <c r="AX209" s="69">
        <f>INDEX(inp_ox_other,20)*INDEX(ref_scn_cost,1)</f>
        <v>0</v>
      </c>
      <c r="AY209" s="69">
        <f>INDEX(inp_ox_other,21)*INDEX(ref_scn_cost,1)</f>
        <v>0</v>
      </c>
      <c r="AZ209" s="69">
        <f>INDEX(inp_ox_other,22)*INDEX(ref_scn_cost,1)</f>
        <v>0</v>
      </c>
      <c r="BA209" s="69">
        <f>INDEX(inp_ox_other,23)*INDEX(ref_scn_cost,1)</f>
        <v>0</v>
      </c>
      <c r="BB209" s="69">
        <f>INDEX(inp_ox_other,24)*INDEX(ref_scn_cost,1)</f>
        <v>0</v>
      </c>
      <c r="BC209" s="70">
        <f t="shared" si="113"/>
        <v>0</v>
      </c>
      <c r="BD209" s="70">
        <f t="shared" si="114"/>
        <v>0</v>
      </c>
      <c r="BE209" s="2"/>
      <c r="BF209" s="69">
        <f>INDEX(inp_ox_other,1)*INDEX(ref_scn_cost,2)</f>
        <v>0</v>
      </c>
      <c r="BG209" s="69">
        <f>INDEX(inp_ox_other,2)*INDEX(ref_scn_cost,2)</f>
        <v>0</v>
      </c>
      <c r="BH209" s="69">
        <f>INDEX(inp_ox_other,3)*INDEX(ref_scn_cost,2)</f>
        <v>0</v>
      </c>
      <c r="BI209" s="69">
        <f>INDEX(inp_ox_other,4)*INDEX(ref_scn_cost,2)</f>
        <v>0</v>
      </c>
      <c r="BJ209" s="69">
        <f>INDEX(inp_ox_other,5)*INDEX(ref_scn_cost,2)</f>
        <v>0</v>
      </c>
      <c r="BK209" s="69">
        <f>INDEX(inp_ox_other,6)*INDEX(ref_scn_cost,2)</f>
        <v>0</v>
      </c>
      <c r="BL209" s="69">
        <f>INDEX(inp_ox_other,7)*INDEX(ref_scn_cost,2)</f>
        <v>0</v>
      </c>
      <c r="BM209" s="69">
        <f>INDEX(inp_ox_other,8)*INDEX(ref_scn_cost,2)</f>
        <v>0</v>
      </c>
      <c r="BN209" s="69">
        <f>INDEX(inp_ox_other,9)*INDEX(ref_scn_cost,2)</f>
        <v>0</v>
      </c>
      <c r="BO209" s="69">
        <f>INDEX(inp_ox_other,10)*INDEX(ref_scn_cost,2)</f>
        <v>0</v>
      </c>
      <c r="BP209" s="69">
        <f>INDEX(inp_ox_other,11)*INDEX(ref_scn_cost,2)</f>
        <v>0</v>
      </c>
      <c r="BQ209" s="69">
        <f>INDEX(inp_ox_other,12)*INDEX(ref_scn_cost,2)</f>
        <v>0</v>
      </c>
      <c r="BR209" s="69">
        <f>INDEX(inp_ox_other,13)*INDEX(ref_scn_cost,2)</f>
        <v>0</v>
      </c>
      <c r="BS209" s="69">
        <f>INDEX(inp_ox_other,14)*INDEX(ref_scn_cost,2)</f>
        <v>0</v>
      </c>
      <c r="BT209" s="69">
        <f>INDEX(inp_ox_other,15)*INDEX(ref_scn_cost,2)</f>
        <v>0</v>
      </c>
      <c r="BU209" s="69">
        <f>INDEX(inp_ox_other,16)*INDEX(ref_scn_cost,2)</f>
        <v>0</v>
      </c>
      <c r="BV209" s="69">
        <f>INDEX(inp_ox_other,17)*INDEX(ref_scn_cost,2)</f>
        <v>0</v>
      </c>
      <c r="BW209" s="69">
        <f>INDEX(inp_ox_other,18)*INDEX(ref_scn_cost,2)</f>
        <v>0</v>
      </c>
      <c r="BX209" s="69">
        <f>INDEX(inp_ox_other,19)*INDEX(ref_scn_cost,2)</f>
        <v>0</v>
      </c>
      <c r="BY209" s="69">
        <f>INDEX(inp_ox_other,20)*INDEX(ref_scn_cost,2)</f>
        <v>0</v>
      </c>
      <c r="BZ209" s="69">
        <f>INDEX(inp_ox_other,21)*INDEX(ref_scn_cost,2)</f>
        <v>0</v>
      </c>
      <c r="CA209" s="69">
        <f>INDEX(inp_ox_other,22)*INDEX(ref_scn_cost,2)</f>
        <v>0</v>
      </c>
      <c r="CB209" s="69">
        <f>INDEX(inp_ox_other,23)*INDEX(ref_scn_cost,2)</f>
        <v>0</v>
      </c>
      <c r="CC209" s="69">
        <f>INDEX(inp_ox_other,24)*INDEX(ref_scn_cost,2)</f>
        <v>0</v>
      </c>
      <c r="CD209" s="70">
        <f t="shared" si="115"/>
        <v>0</v>
      </c>
      <c r="CE209" s="70">
        <f t="shared" si="116"/>
        <v>0</v>
      </c>
      <c r="CF209" s="2"/>
      <c r="CG209" s="69">
        <f>INDEX(inp_ox_other,1)*INDEX(ref_scn_cost,3)</f>
        <v>0</v>
      </c>
      <c r="CH209" s="69">
        <f>INDEX(inp_ox_other,2)*INDEX(ref_scn_cost,3)</f>
        <v>0</v>
      </c>
      <c r="CI209" s="69">
        <f>INDEX(inp_ox_other,3)*INDEX(ref_scn_cost,3)</f>
        <v>0</v>
      </c>
      <c r="CJ209" s="69">
        <f>INDEX(inp_ox_other,4)*INDEX(ref_scn_cost,3)</f>
        <v>0</v>
      </c>
      <c r="CK209" s="69">
        <f>INDEX(inp_ox_other,5)*INDEX(ref_scn_cost,3)</f>
        <v>0</v>
      </c>
      <c r="CL209" s="69">
        <f>INDEX(inp_ox_other,6)*INDEX(ref_scn_cost,3)</f>
        <v>0</v>
      </c>
      <c r="CM209" s="69">
        <f>INDEX(inp_ox_other,7)*INDEX(ref_scn_cost,3)</f>
        <v>0</v>
      </c>
      <c r="CN209" s="69">
        <f>INDEX(inp_ox_other,8)*INDEX(ref_scn_cost,3)</f>
        <v>0</v>
      </c>
      <c r="CO209" s="69">
        <f>INDEX(inp_ox_other,9)*INDEX(ref_scn_cost,3)</f>
        <v>0</v>
      </c>
      <c r="CP209" s="69">
        <f>INDEX(inp_ox_other,10)*INDEX(ref_scn_cost,3)</f>
        <v>0</v>
      </c>
      <c r="CQ209" s="69">
        <f>INDEX(inp_ox_other,11)*INDEX(ref_scn_cost,3)</f>
        <v>0</v>
      </c>
      <c r="CR209" s="69">
        <f>INDEX(inp_ox_other,12)*INDEX(ref_scn_cost,3)</f>
        <v>0</v>
      </c>
      <c r="CS209" s="69">
        <f>INDEX(inp_ox_other,13)*INDEX(ref_scn_cost,3)</f>
        <v>0</v>
      </c>
      <c r="CT209" s="69">
        <f>INDEX(inp_ox_other,14)*INDEX(ref_scn_cost,3)</f>
        <v>0</v>
      </c>
      <c r="CU209" s="69">
        <f>INDEX(inp_ox_other,15)*INDEX(ref_scn_cost,3)</f>
        <v>0</v>
      </c>
      <c r="CV209" s="69">
        <f>INDEX(inp_ox_other,16)*INDEX(ref_scn_cost,3)</f>
        <v>0</v>
      </c>
      <c r="CW209" s="69">
        <f>INDEX(inp_ox_other,17)*INDEX(ref_scn_cost,3)</f>
        <v>0</v>
      </c>
      <c r="CX209" s="69">
        <f>INDEX(inp_ox_other,18)*INDEX(ref_scn_cost,3)</f>
        <v>0</v>
      </c>
      <c r="CY209" s="69">
        <f>INDEX(inp_ox_other,19)*INDEX(ref_scn_cost,3)</f>
        <v>0</v>
      </c>
      <c r="CZ209" s="69">
        <f>INDEX(inp_ox_other,20)*INDEX(ref_scn_cost,3)</f>
        <v>0</v>
      </c>
      <c r="DA209" s="69">
        <f>INDEX(inp_ox_other,21)*INDEX(ref_scn_cost,3)</f>
        <v>0</v>
      </c>
      <c r="DB209" s="69">
        <f>INDEX(inp_ox_other,22)*INDEX(ref_scn_cost,3)</f>
        <v>0</v>
      </c>
      <c r="DC209" s="69">
        <f>INDEX(inp_ox_other,23)*INDEX(ref_scn_cost,3)</f>
        <v>0</v>
      </c>
      <c r="DD209" s="69">
        <f>INDEX(inp_ox_other,24)*INDEX(ref_scn_cost,3)</f>
        <v>0</v>
      </c>
      <c r="DE209" s="70">
        <f t="shared" si="117"/>
        <v>0</v>
      </c>
      <c r="DF209" s="70">
        <f t="shared" si="118"/>
        <v>0</v>
      </c>
      <c r="DG209"/>
      <c r="DH209"/>
    </row>
    <row r="210" spans="1:112" hidden="1" x14ac:dyDescent="0.2">
      <c r="A210" s="2"/>
      <c r="B210" s="35" t="s">
        <v>132</v>
      </c>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70">
        <f t="shared" ref="AE210:BB210" si="119">AE203+AE204+AE205+AE206+AE207+AE208+AE209</f>
        <v>0</v>
      </c>
      <c r="AF210" s="70">
        <f t="shared" si="119"/>
        <v>0</v>
      </c>
      <c r="AG210" s="70">
        <f t="shared" si="119"/>
        <v>0</v>
      </c>
      <c r="AH210" s="70">
        <f t="shared" si="119"/>
        <v>0</v>
      </c>
      <c r="AI210" s="70">
        <f t="shared" si="119"/>
        <v>0</v>
      </c>
      <c r="AJ210" s="70">
        <f t="shared" si="119"/>
        <v>0</v>
      </c>
      <c r="AK210" s="70">
        <f t="shared" si="119"/>
        <v>0</v>
      </c>
      <c r="AL210" s="70">
        <f t="shared" si="119"/>
        <v>0</v>
      </c>
      <c r="AM210" s="70">
        <f t="shared" si="119"/>
        <v>0</v>
      </c>
      <c r="AN210" s="70">
        <f t="shared" si="119"/>
        <v>0</v>
      </c>
      <c r="AO210" s="70">
        <f t="shared" si="119"/>
        <v>0</v>
      </c>
      <c r="AP210" s="70">
        <f t="shared" si="119"/>
        <v>0</v>
      </c>
      <c r="AQ210" s="70">
        <f t="shared" si="119"/>
        <v>0</v>
      </c>
      <c r="AR210" s="70">
        <f t="shared" si="119"/>
        <v>0</v>
      </c>
      <c r="AS210" s="70">
        <f t="shared" si="119"/>
        <v>0</v>
      </c>
      <c r="AT210" s="70">
        <f t="shared" si="119"/>
        <v>0</v>
      </c>
      <c r="AU210" s="70">
        <f t="shared" si="119"/>
        <v>0</v>
      </c>
      <c r="AV210" s="70">
        <f t="shared" si="119"/>
        <v>0</v>
      </c>
      <c r="AW210" s="70">
        <f t="shared" si="119"/>
        <v>0</v>
      </c>
      <c r="AX210" s="70">
        <f t="shared" si="119"/>
        <v>0</v>
      </c>
      <c r="AY210" s="70">
        <f t="shared" si="119"/>
        <v>0</v>
      </c>
      <c r="AZ210" s="70">
        <f t="shared" si="119"/>
        <v>0</v>
      </c>
      <c r="BA210" s="70">
        <f t="shared" si="119"/>
        <v>0</v>
      </c>
      <c r="BB210" s="70">
        <f t="shared" si="119"/>
        <v>0</v>
      </c>
      <c r="BC210" s="70">
        <f t="shared" si="113"/>
        <v>0</v>
      </c>
      <c r="BD210" s="70">
        <f t="shared" si="114"/>
        <v>0</v>
      </c>
      <c r="BE210" s="2"/>
      <c r="BF210" s="70">
        <f t="shared" ref="BF210:CC210" si="120">BF203+BF204+BF205+BF206+BF207+BF208+BF209</f>
        <v>0</v>
      </c>
      <c r="BG210" s="70">
        <f t="shared" si="120"/>
        <v>0</v>
      </c>
      <c r="BH210" s="70">
        <f t="shared" si="120"/>
        <v>0</v>
      </c>
      <c r="BI210" s="70">
        <f t="shared" si="120"/>
        <v>0</v>
      </c>
      <c r="BJ210" s="70">
        <f t="shared" si="120"/>
        <v>0</v>
      </c>
      <c r="BK210" s="70">
        <f t="shared" si="120"/>
        <v>0</v>
      </c>
      <c r="BL210" s="70">
        <f t="shared" si="120"/>
        <v>0</v>
      </c>
      <c r="BM210" s="70">
        <f t="shared" si="120"/>
        <v>0</v>
      </c>
      <c r="BN210" s="70">
        <f t="shared" si="120"/>
        <v>0</v>
      </c>
      <c r="BO210" s="70">
        <f t="shared" si="120"/>
        <v>0</v>
      </c>
      <c r="BP210" s="70">
        <f t="shared" si="120"/>
        <v>0</v>
      </c>
      <c r="BQ210" s="70">
        <f t="shared" si="120"/>
        <v>0</v>
      </c>
      <c r="BR210" s="70">
        <f t="shared" si="120"/>
        <v>0</v>
      </c>
      <c r="BS210" s="70">
        <f t="shared" si="120"/>
        <v>0</v>
      </c>
      <c r="BT210" s="70">
        <f t="shared" si="120"/>
        <v>0</v>
      </c>
      <c r="BU210" s="70">
        <f t="shared" si="120"/>
        <v>0</v>
      </c>
      <c r="BV210" s="70">
        <f t="shared" si="120"/>
        <v>0</v>
      </c>
      <c r="BW210" s="70">
        <f t="shared" si="120"/>
        <v>0</v>
      </c>
      <c r="BX210" s="70">
        <f t="shared" si="120"/>
        <v>0</v>
      </c>
      <c r="BY210" s="70">
        <f t="shared" si="120"/>
        <v>0</v>
      </c>
      <c r="BZ210" s="70">
        <f t="shared" si="120"/>
        <v>0</v>
      </c>
      <c r="CA210" s="70">
        <f t="shared" si="120"/>
        <v>0</v>
      </c>
      <c r="CB210" s="70">
        <f t="shared" si="120"/>
        <v>0</v>
      </c>
      <c r="CC210" s="70">
        <f t="shared" si="120"/>
        <v>0</v>
      </c>
      <c r="CD210" s="70">
        <f t="shared" si="115"/>
        <v>0</v>
      </c>
      <c r="CE210" s="70">
        <f t="shared" si="116"/>
        <v>0</v>
      </c>
      <c r="CF210" s="2"/>
      <c r="CG210" s="70">
        <f t="shared" ref="CG210:DD210" si="121">CG203+CG204+CG205+CG206+CG207+CG208+CG209</f>
        <v>0</v>
      </c>
      <c r="CH210" s="70">
        <f t="shared" si="121"/>
        <v>0</v>
      </c>
      <c r="CI210" s="70">
        <f t="shared" si="121"/>
        <v>0</v>
      </c>
      <c r="CJ210" s="70">
        <f t="shared" si="121"/>
        <v>0</v>
      </c>
      <c r="CK210" s="70">
        <f t="shared" si="121"/>
        <v>0</v>
      </c>
      <c r="CL210" s="70">
        <f t="shared" si="121"/>
        <v>0</v>
      </c>
      <c r="CM210" s="70">
        <f t="shared" si="121"/>
        <v>0</v>
      </c>
      <c r="CN210" s="70">
        <f t="shared" si="121"/>
        <v>0</v>
      </c>
      <c r="CO210" s="70">
        <f t="shared" si="121"/>
        <v>0</v>
      </c>
      <c r="CP210" s="70">
        <f t="shared" si="121"/>
        <v>0</v>
      </c>
      <c r="CQ210" s="70">
        <f t="shared" si="121"/>
        <v>0</v>
      </c>
      <c r="CR210" s="70">
        <f t="shared" si="121"/>
        <v>0</v>
      </c>
      <c r="CS210" s="70">
        <f t="shared" si="121"/>
        <v>0</v>
      </c>
      <c r="CT210" s="70">
        <f t="shared" si="121"/>
        <v>0</v>
      </c>
      <c r="CU210" s="70">
        <f t="shared" si="121"/>
        <v>0</v>
      </c>
      <c r="CV210" s="70">
        <f t="shared" si="121"/>
        <v>0</v>
      </c>
      <c r="CW210" s="70">
        <f t="shared" si="121"/>
        <v>0</v>
      </c>
      <c r="CX210" s="70">
        <f t="shared" si="121"/>
        <v>0</v>
      </c>
      <c r="CY210" s="70">
        <f t="shared" si="121"/>
        <v>0</v>
      </c>
      <c r="CZ210" s="70">
        <f t="shared" si="121"/>
        <v>0</v>
      </c>
      <c r="DA210" s="70">
        <f t="shared" si="121"/>
        <v>0</v>
      </c>
      <c r="DB210" s="70">
        <f t="shared" si="121"/>
        <v>0</v>
      </c>
      <c r="DC210" s="70">
        <f t="shared" si="121"/>
        <v>0</v>
      </c>
      <c r="DD210" s="70">
        <f t="shared" si="121"/>
        <v>0</v>
      </c>
      <c r="DE210" s="70">
        <f t="shared" si="117"/>
        <v>0</v>
      </c>
      <c r="DF210" s="70">
        <f t="shared" si="118"/>
        <v>0</v>
      </c>
      <c r="DG210"/>
      <c r="DH210"/>
    </row>
    <row r="211" spans="1:112" hidden="1" x14ac:dyDescent="0.2">
      <c r="A211" s="2"/>
      <c r="B211" s="35" t="s">
        <v>133</v>
      </c>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70">
        <f t="shared" ref="AE211:BB211" si="122">AE201-AE210</f>
        <v>0</v>
      </c>
      <c r="AF211" s="70">
        <f t="shared" si="122"/>
        <v>0</v>
      </c>
      <c r="AG211" s="70">
        <f t="shared" si="122"/>
        <v>0</v>
      </c>
      <c r="AH211" s="70">
        <f t="shared" si="122"/>
        <v>0</v>
      </c>
      <c r="AI211" s="70">
        <f t="shared" si="122"/>
        <v>0</v>
      </c>
      <c r="AJ211" s="70">
        <f t="shared" si="122"/>
        <v>0</v>
      </c>
      <c r="AK211" s="70">
        <f t="shared" si="122"/>
        <v>0</v>
      </c>
      <c r="AL211" s="70">
        <f t="shared" si="122"/>
        <v>0</v>
      </c>
      <c r="AM211" s="70">
        <f t="shared" si="122"/>
        <v>0</v>
      </c>
      <c r="AN211" s="70">
        <f t="shared" si="122"/>
        <v>0</v>
      </c>
      <c r="AO211" s="70">
        <f t="shared" si="122"/>
        <v>0</v>
      </c>
      <c r="AP211" s="70">
        <f t="shared" si="122"/>
        <v>0</v>
      </c>
      <c r="AQ211" s="70">
        <f t="shared" si="122"/>
        <v>0</v>
      </c>
      <c r="AR211" s="70">
        <f t="shared" si="122"/>
        <v>0</v>
      </c>
      <c r="AS211" s="70">
        <f t="shared" si="122"/>
        <v>0</v>
      </c>
      <c r="AT211" s="70">
        <f t="shared" si="122"/>
        <v>0</v>
      </c>
      <c r="AU211" s="70">
        <f t="shared" si="122"/>
        <v>0</v>
      </c>
      <c r="AV211" s="70">
        <f t="shared" si="122"/>
        <v>0</v>
      </c>
      <c r="AW211" s="70">
        <f t="shared" si="122"/>
        <v>0</v>
      </c>
      <c r="AX211" s="70">
        <f t="shared" si="122"/>
        <v>0</v>
      </c>
      <c r="AY211" s="70">
        <f t="shared" si="122"/>
        <v>0</v>
      </c>
      <c r="AZ211" s="70">
        <f t="shared" si="122"/>
        <v>0</v>
      </c>
      <c r="BA211" s="70">
        <f t="shared" si="122"/>
        <v>0</v>
      </c>
      <c r="BB211" s="70">
        <f t="shared" si="122"/>
        <v>0</v>
      </c>
      <c r="BC211" s="70">
        <f t="shared" si="113"/>
        <v>0</v>
      </c>
      <c r="BD211" s="70">
        <f t="shared" si="114"/>
        <v>0</v>
      </c>
      <c r="BE211" s="2"/>
      <c r="BF211" s="70">
        <f t="shared" ref="BF211:CC211" si="123">BF201-BF210</f>
        <v>0</v>
      </c>
      <c r="BG211" s="70">
        <f t="shared" si="123"/>
        <v>0</v>
      </c>
      <c r="BH211" s="70">
        <f t="shared" si="123"/>
        <v>0</v>
      </c>
      <c r="BI211" s="70">
        <f t="shared" si="123"/>
        <v>0</v>
      </c>
      <c r="BJ211" s="70">
        <f t="shared" si="123"/>
        <v>0</v>
      </c>
      <c r="BK211" s="70">
        <f t="shared" si="123"/>
        <v>0</v>
      </c>
      <c r="BL211" s="70">
        <f t="shared" si="123"/>
        <v>0</v>
      </c>
      <c r="BM211" s="70">
        <f t="shared" si="123"/>
        <v>0</v>
      </c>
      <c r="BN211" s="70">
        <f t="shared" si="123"/>
        <v>0</v>
      </c>
      <c r="BO211" s="70">
        <f t="shared" si="123"/>
        <v>0</v>
      </c>
      <c r="BP211" s="70">
        <f t="shared" si="123"/>
        <v>0</v>
      </c>
      <c r="BQ211" s="70">
        <f t="shared" si="123"/>
        <v>0</v>
      </c>
      <c r="BR211" s="70">
        <f t="shared" si="123"/>
        <v>0</v>
      </c>
      <c r="BS211" s="70">
        <f t="shared" si="123"/>
        <v>0</v>
      </c>
      <c r="BT211" s="70">
        <f t="shared" si="123"/>
        <v>0</v>
      </c>
      <c r="BU211" s="70">
        <f t="shared" si="123"/>
        <v>0</v>
      </c>
      <c r="BV211" s="70">
        <f t="shared" si="123"/>
        <v>0</v>
      </c>
      <c r="BW211" s="70">
        <f t="shared" si="123"/>
        <v>0</v>
      </c>
      <c r="BX211" s="70">
        <f t="shared" si="123"/>
        <v>0</v>
      </c>
      <c r="BY211" s="70">
        <f t="shared" si="123"/>
        <v>0</v>
      </c>
      <c r="BZ211" s="70">
        <f t="shared" si="123"/>
        <v>0</v>
      </c>
      <c r="CA211" s="70">
        <f t="shared" si="123"/>
        <v>0</v>
      </c>
      <c r="CB211" s="70">
        <f t="shared" si="123"/>
        <v>0</v>
      </c>
      <c r="CC211" s="70">
        <f t="shared" si="123"/>
        <v>0</v>
      </c>
      <c r="CD211" s="70">
        <f t="shared" si="115"/>
        <v>0</v>
      </c>
      <c r="CE211" s="70">
        <f t="shared" si="116"/>
        <v>0</v>
      </c>
      <c r="CF211" s="2"/>
      <c r="CG211" s="70">
        <f t="shared" ref="CG211:DD211" si="124">CG201-CG210</f>
        <v>0</v>
      </c>
      <c r="CH211" s="70">
        <f t="shared" si="124"/>
        <v>0</v>
      </c>
      <c r="CI211" s="70">
        <f t="shared" si="124"/>
        <v>0</v>
      </c>
      <c r="CJ211" s="70">
        <f t="shared" si="124"/>
        <v>0</v>
      </c>
      <c r="CK211" s="70">
        <f t="shared" si="124"/>
        <v>0</v>
      </c>
      <c r="CL211" s="70">
        <f t="shared" si="124"/>
        <v>0</v>
      </c>
      <c r="CM211" s="70">
        <f t="shared" si="124"/>
        <v>0</v>
      </c>
      <c r="CN211" s="70">
        <f t="shared" si="124"/>
        <v>0</v>
      </c>
      <c r="CO211" s="70">
        <f t="shared" si="124"/>
        <v>0</v>
      </c>
      <c r="CP211" s="70">
        <f t="shared" si="124"/>
        <v>0</v>
      </c>
      <c r="CQ211" s="70">
        <f t="shared" si="124"/>
        <v>0</v>
      </c>
      <c r="CR211" s="70">
        <f t="shared" si="124"/>
        <v>0</v>
      </c>
      <c r="CS211" s="70">
        <f t="shared" si="124"/>
        <v>0</v>
      </c>
      <c r="CT211" s="70">
        <f t="shared" si="124"/>
        <v>0</v>
      </c>
      <c r="CU211" s="70">
        <f t="shared" si="124"/>
        <v>0</v>
      </c>
      <c r="CV211" s="70">
        <f t="shared" si="124"/>
        <v>0</v>
      </c>
      <c r="CW211" s="70">
        <f t="shared" si="124"/>
        <v>0</v>
      </c>
      <c r="CX211" s="70">
        <f t="shared" si="124"/>
        <v>0</v>
      </c>
      <c r="CY211" s="70">
        <f t="shared" si="124"/>
        <v>0</v>
      </c>
      <c r="CZ211" s="70">
        <f t="shared" si="124"/>
        <v>0</v>
      </c>
      <c r="DA211" s="70">
        <f t="shared" si="124"/>
        <v>0</v>
      </c>
      <c r="DB211" s="70">
        <f t="shared" si="124"/>
        <v>0</v>
      </c>
      <c r="DC211" s="70">
        <f t="shared" si="124"/>
        <v>0</v>
      </c>
      <c r="DD211" s="70">
        <f t="shared" si="124"/>
        <v>0</v>
      </c>
      <c r="DE211" s="70">
        <f t="shared" si="117"/>
        <v>0</v>
      </c>
      <c r="DF211" s="70">
        <f t="shared" si="118"/>
        <v>0</v>
      </c>
      <c r="DG211"/>
      <c r="DH211"/>
    </row>
    <row r="212" spans="1:112" hidden="1" x14ac:dyDescent="0.2">
      <c r="A212" s="2"/>
      <c r="B212" s="35" t="s">
        <v>134</v>
      </c>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32">
        <f t="shared" ref="AE212:BB212" si="125">IFERROR(AE211/AE190,0)</f>
        <v>0</v>
      </c>
      <c r="AF212" s="32">
        <f t="shared" si="125"/>
        <v>0</v>
      </c>
      <c r="AG212" s="32">
        <f t="shared" si="125"/>
        <v>0</v>
      </c>
      <c r="AH212" s="32">
        <f t="shared" si="125"/>
        <v>0</v>
      </c>
      <c r="AI212" s="32">
        <f t="shared" si="125"/>
        <v>0</v>
      </c>
      <c r="AJ212" s="32">
        <f t="shared" si="125"/>
        <v>0</v>
      </c>
      <c r="AK212" s="32">
        <f t="shared" si="125"/>
        <v>0</v>
      </c>
      <c r="AL212" s="32">
        <f t="shared" si="125"/>
        <v>0</v>
      </c>
      <c r="AM212" s="32">
        <f t="shared" si="125"/>
        <v>0</v>
      </c>
      <c r="AN212" s="32">
        <f t="shared" si="125"/>
        <v>0</v>
      </c>
      <c r="AO212" s="32">
        <f t="shared" si="125"/>
        <v>0</v>
      </c>
      <c r="AP212" s="32">
        <f t="shared" si="125"/>
        <v>0</v>
      </c>
      <c r="AQ212" s="32">
        <f t="shared" si="125"/>
        <v>0</v>
      </c>
      <c r="AR212" s="32">
        <f t="shared" si="125"/>
        <v>0</v>
      </c>
      <c r="AS212" s="32">
        <f t="shared" si="125"/>
        <v>0</v>
      </c>
      <c r="AT212" s="32">
        <f t="shared" si="125"/>
        <v>0</v>
      </c>
      <c r="AU212" s="32">
        <f t="shared" si="125"/>
        <v>0</v>
      </c>
      <c r="AV212" s="32">
        <f t="shared" si="125"/>
        <v>0</v>
      </c>
      <c r="AW212" s="32">
        <f t="shared" si="125"/>
        <v>0</v>
      </c>
      <c r="AX212" s="32">
        <f t="shared" si="125"/>
        <v>0</v>
      </c>
      <c r="AY212" s="32">
        <f t="shared" si="125"/>
        <v>0</v>
      </c>
      <c r="AZ212" s="32">
        <f t="shared" si="125"/>
        <v>0</v>
      </c>
      <c r="BA212" s="32">
        <f t="shared" si="125"/>
        <v>0</v>
      </c>
      <c r="BB212" s="32">
        <f t="shared" si="125"/>
        <v>0</v>
      </c>
      <c r="BC212" s="76">
        <f>IFERROR(SUM(AE211:AP211)/SUM(AE190:AP190),0)</f>
        <v>0</v>
      </c>
      <c r="BD212" s="76">
        <f>IFERROR(SUM(AQ211:BB211)/SUM(AQ190:BB190),0)</f>
        <v>0</v>
      </c>
      <c r="BE212" s="2"/>
      <c r="BF212" s="32">
        <f t="shared" ref="BF212:CC212" si="126">IFERROR(BF211/BF190,0)</f>
        <v>0</v>
      </c>
      <c r="BG212" s="32">
        <f t="shared" si="126"/>
        <v>0</v>
      </c>
      <c r="BH212" s="32">
        <f t="shared" si="126"/>
        <v>0</v>
      </c>
      <c r="BI212" s="32">
        <f t="shared" si="126"/>
        <v>0</v>
      </c>
      <c r="BJ212" s="32">
        <f t="shared" si="126"/>
        <v>0</v>
      </c>
      <c r="BK212" s="32">
        <f t="shared" si="126"/>
        <v>0</v>
      </c>
      <c r="BL212" s="32">
        <f t="shared" si="126"/>
        <v>0</v>
      </c>
      <c r="BM212" s="32">
        <f t="shared" si="126"/>
        <v>0</v>
      </c>
      <c r="BN212" s="32">
        <f t="shared" si="126"/>
        <v>0</v>
      </c>
      <c r="BO212" s="32">
        <f t="shared" si="126"/>
        <v>0</v>
      </c>
      <c r="BP212" s="32">
        <f t="shared" si="126"/>
        <v>0</v>
      </c>
      <c r="BQ212" s="32">
        <f t="shared" si="126"/>
        <v>0</v>
      </c>
      <c r="BR212" s="32">
        <f t="shared" si="126"/>
        <v>0</v>
      </c>
      <c r="BS212" s="32">
        <f t="shared" si="126"/>
        <v>0</v>
      </c>
      <c r="BT212" s="32">
        <f t="shared" si="126"/>
        <v>0</v>
      </c>
      <c r="BU212" s="32">
        <f t="shared" si="126"/>
        <v>0</v>
      </c>
      <c r="BV212" s="32">
        <f t="shared" si="126"/>
        <v>0</v>
      </c>
      <c r="BW212" s="32">
        <f t="shared" si="126"/>
        <v>0</v>
      </c>
      <c r="BX212" s="32">
        <f t="shared" si="126"/>
        <v>0</v>
      </c>
      <c r="BY212" s="32">
        <f t="shared" si="126"/>
        <v>0</v>
      </c>
      <c r="BZ212" s="32">
        <f t="shared" si="126"/>
        <v>0</v>
      </c>
      <c r="CA212" s="32">
        <f t="shared" si="126"/>
        <v>0</v>
      </c>
      <c r="CB212" s="32">
        <f t="shared" si="126"/>
        <v>0</v>
      </c>
      <c r="CC212" s="32">
        <f t="shared" si="126"/>
        <v>0</v>
      </c>
      <c r="CD212" s="76">
        <f>IFERROR(SUM(BF211:BQ211)/SUM(BF190:BQ190),0)</f>
        <v>0</v>
      </c>
      <c r="CE212" s="76">
        <f>IFERROR(SUM(BR211:CC211)/SUM(BR190:CC190),0)</f>
        <v>0</v>
      </c>
      <c r="CF212" s="2"/>
      <c r="CG212" s="32">
        <f t="shared" ref="CG212:DD212" si="127">IFERROR(CG211/CG190,0)</f>
        <v>0</v>
      </c>
      <c r="CH212" s="32">
        <f t="shared" si="127"/>
        <v>0</v>
      </c>
      <c r="CI212" s="32">
        <f t="shared" si="127"/>
        <v>0</v>
      </c>
      <c r="CJ212" s="32">
        <f t="shared" si="127"/>
        <v>0</v>
      </c>
      <c r="CK212" s="32">
        <f t="shared" si="127"/>
        <v>0</v>
      </c>
      <c r="CL212" s="32">
        <f t="shared" si="127"/>
        <v>0</v>
      </c>
      <c r="CM212" s="32">
        <f t="shared" si="127"/>
        <v>0</v>
      </c>
      <c r="CN212" s="32">
        <f t="shared" si="127"/>
        <v>0</v>
      </c>
      <c r="CO212" s="32">
        <f t="shared" si="127"/>
        <v>0</v>
      </c>
      <c r="CP212" s="32">
        <f t="shared" si="127"/>
        <v>0</v>
      </c>
      <c r="CQ212" s="32">
        <f t="shared" si="127"/>
        <v>0</v>
      </c>
      <c r="CR212" s="32">
        <f t="shared" si="127"/>
        <v>0</v>
      </c>
      <c r="CS212" s="32">
        <f t="shared" si="127"/>
        <v>0</v>
      </c>
      <c r="CT212" s="32">
        <f t="shared" si="127"/>
        <v>0</v>
      </c>
      <c r="CU212" s="32">
        <f t="shared" si="127"/>
        <v>0</v>
      </c>
      <c r="CV212" s="32">
        <f t="shared" si="127"/>
        <v>0</v>
      </c>
      <c r="CW212" s="32">
        <f t="shared" si="127"/>
        <v>0</v>
      </c>
      <c r="CX212" s="32">
        <f t="shared" si="127"/>
        <v>0</v>
      </c>
      <c r="CY212" s="32">
        <f t="shared" si="127"/>
        <v>0</v>
      </c>
      <c r="CZ212" s="32">
        <f t="shared" si="127"/>
        <v>0</v>
      </c>
      <c r="DA212" s="32">
        <f t="shared" si="127"/>
        <v>0</v>
      </c>
      <c r="DB212" s="32">
        <f t="shared" si="127"/>
        <v>0</v>
      </c>
      <c r="DC212" s="32">
        <f t="shared" si="127"/>
        <v>0</v>
      </c>
      <c r="DD212" s="32">
        <f t="shared" si="127"/>
        <v>0</v>
      </c>
      <c r="DE212" s="76">
        <f>IFERROR(SUM(CG211:CR211)/SUM(CG190:CR190),0)</f>
        <v>0</v>
      </c>
      <c r="DF212" s="76">
        <f>IFERROR(SUM(CS211:DD211)/SUM(CS190:DD190),0)</f>
        <v>0</v>
      </c>
      <c r="DG212"/>
      <c r="DH212"/>
    </row>
    <row r="213" spans="1:112" hidden="1" x14ac:dyDescent="0.2">
      <c r="A213" s="2"/>
      <c r="B213" s="35" t="s">
        <v>135</v>
      </c>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69">
        <f>INDEX(inp_da_monthly,1)</f>
        <v>0</v>
      </c>
      <c r="AF213" s="69">
        <f>INDEX(inp_da_monthly,2)</f>
        <v>0</v>
      </c>
      <c r="AG213" s="69">
        <f>INDEX(inp_da_monthly,3)</f>
        <v>0</v>
      </c>
      <c r="AH213" s="69">
        <f>INDEX(inp_da_monthly,4)</f>
        <v>0</v>
      </c>
      <c r="AI213" s="69">
        <f>INDEX(inp_da_monthly,5)</f>
        <v>0</v>
      </c>
      <c r="AJ213" s="69">
        <f>INDEX(inp_da_monthly,6)</f>
        <v>0</v>
      </c>
      <c r="AK213" s="69">
        <f>INDEX(inp_da_monthly,7)</f>
        <v>0</v>
      </c>
      <c r="AL213" s="69">
        <f>INDEX(inp_da_monthly,8)</f>
        <v>0</v>
      </c>
      <c r="AM213" s="69">
        <f>INDEX(inp_da_monthly,9)</f>
        <v>0</v>
      </c>
      <c r="AN213" s="69">
        <f>INDEX(inp_da_monthly,10)</f>
        <v>0</v>
      </c>
      <c r="AO213" s="69">
        <f>INDEX(inp_da_monthly,11)</f>
        <v>0</v>
      </c>
      <c r="AP213" s="69">
        <f>INDEX(inp_da_monthly,12)</f>
        <v>0</v>
      </c>
      <c r="AQ213" s="69">
        <f>INDEX(inp_da_monthly,13)</f>
        <v>0</v>
      </c>
      <c r="AR213" s="69">
        <f>INDEX(inp_da_monthly,14)</f>
        <v>0</v>
      </c>
      <c r="AS213" s="69">
        <f>INDEX(inp_da_monthly,15)</f>
        <v>0</v>
      </c>
      <c r="AT213" s="69">
        <f>INDEX(inp_da_monthly,16)</f>
        <v>0</v>
      </c>
      <c r="AU213" s="69">
        <f>INDEX(inp_da_monthly,17)</f>
        <v>0</v>
      </c>
      <c r="AV213" s="69">
        <f>INDEX(inp_da_monthly,18)</f>
        <v>0</v>
      </c>
      <c r="AW213" s="69">
        <f>INDEX(inp_da_monthly,19)</f>
        <v>0</v>
      </c>
      <c r="AX213" s="69">
        <f>INDEX(inp_da_monthly,20)</f>
        <v>0</v>
      </c>
      <c r="AY213" s="69">
        <f>INDEX(inp_da_monthly,21)</f>
        <v>0</v>
      </c>
      <c r="AZ213" s="69">
        <f>INDEX(inp_da_monthly,22)</f>
        <v>0</v>
      </c>
      <c r="BA213" s="69">
        <f>INDEX(inp_da_monthly,23)</f>
        <v>0</v>
      </c>
      <c r="BB213" s="69">
        <f>INDEX(inp_da_monthly,24)</f>
        <v>0</v>
      </c>
      <c r="BC213" s="70">
        <f>SUM(AE213:AP213)</f>
        <v>0</v>
      </c>
      <c r="BD213" s="70">
        <f>SUM(AQ213:BB213)</f>
        <v>0</v>
      </c>
      <c r="BE213" s="2"/>
      <c r="BF213" s="69">
        <f>INDEX(inp_da_monthly,1)</f>
        <v>0</v>
      </c>
      <c r="BG213" s="69">
        <f>INDEX(inp_da_monthly,2)</f>
        <v>0</v>
      </c>
      <c r="BH213" s="69">
        <f>INDEX(inp_da_monthly,3)</f>
        <v>0</v>
      </c>
      <c r="BI213" s="69">
        <f>INDEX(inp_da_monthly,4)</f>
        <v>0</v>
      </c>
      <c r="BJ213" s="69">
        <f>INDEX(inp_da_monthly,5)</f>
        <v>0</v>
      </c>
      <c r="BK213" s="69">
        <f>INDEX(inp_da_monthly,6)</f>
        <v>0</v>
      </c>
      <c r="BL213" s="69">
        <f>INDEX(inp_da_monthly,7)</f>
        <v>0</v>
      </c>
      <c r="BM213" s="69">
        <f>INDEX(inp_da_monthly,8)</f>
        <v>0</v>
      </c>
      <c r="BN213" s="69">
        <f>INDEX(inp_da_monthly,9)</f>
        <v>0</v>
      </c>
      <c r="BO213" s="69">
        <f>INDEX(inp_da_monthly,10)</f>
        <v>0</v>
      </c>
      <c r="BP213" s="69">
        <f>INDEX(inp_da_monthly,11)</f>
        <v>0</v>
      </c>
      <c r="BQ213" s="69">
        <f>INDEX(inp_da_monthly,12)</f>
        <v>0</v>
      </c>
      <c r="BR213" s="69">
        <f>INDEX(inp_da_monthly,13)</f>
        <v>0</v>
      </c>
      <c r="BS213" s="69">
        <f>INDEX(inp_da_monthly,14)</f>
        <v>0</v>
      </c>
      <c r="BT213" s="69">
        <f>INDEX(inp_da_monthly,15)</f>
        <v>0</v>
      </c>
      <c r="BU213" s="69">
        <f>INDEX(inp_da_monthly,16)</f>
        <v>0</v>
      </c>
      <c r="BV213" s="69">
        <f>INDEX(inp_da_monthly,17)</f>
        <v>0</v>
      </c>
      <c r="BW213" s="69">
        <f>INDEX(inp_da_monthly,18)</f>
        <v>0</v>
      </c>
      <c r="BX213" s="69">
        <f>INDEX(inp_da_monthly,19)</f>
        <v>0</v>
      </c>
      <c r="BY213" s="69">
        <f>INDEX(inp_da_monthly,20)</f>
        <v>0</v>
      </c>
      <c r="BZ213" s="69">
        <f>INDEX(inp_da_monthly,21)</f>
        <v>0</v>
      </c>
      <c r="CA213" s="69">
        <f>INDEX(inp_da_monthly,22)</f>
        <v>0</v>
      </c>
      <c r="CB213" s="69">
        <f>INDEX(inp_da_monthly,23)</f>
        <v>0</v>
      </c>
      <c r="CC213" s="69">
        <f>INDEX(inp_da_monthly,24)</f>
        <v>0</v>
      </c>
      <c r="CD213" s="70">
        <f>SUM(BF213:BQ213)</f>
        <v>0</v>
      </c>
      <c r="CE213" s="70">
        <f>SUM(BR213:CC213)</f>
        <v>0</v>
      </c>
      <c r="CF213" s="2"/>
      <c r="CG213" s="69">
        <f>INDEX(inp_da_monthly,1)</f>
        <v>0</v>
      </c>
      <c r="CH213" s="69">
        <f>INDEX(inp_da_monthly,2)</f>
        <v>0</v>
      </c>
      <c r="CI213" s="69">
        <f>INDEX(inp_da_monthly,3)</f>
        <v>0</v>
      </c>
      <c r="CJ213" s="69">
        <f>INDEX(inp_da_monthly,4)</f>
        <v>0</v>
      </c>
      <c r="CK213" s="69">
        <f>INDEX(inp_da_monthly,5)</f>
        <v>0</v>
      </c>
      <c r="CL213" s="69">
        <f>INDEX(inp_da_monthly,6)</f>
        <v>0</v>
      </c>
      <c r="CM213" s="69">
        <f>INDEX(inp_da_monthly,7)</f>
        <v>0</v>
      </c>
      <c r="CN213" s="69">
        <f>INDEX(inp_da_monthly,8)</f>
        <v>0</v>
      </c>
      <c r="CO213" s="69">
        <f>INDEX(inp_da_monthly,9)</f>
        <v>0</v>
      </c>
      <c r="CP213" s="69">
        <f>INDEX(inp_da_monthly,10)</f>
        <v>0</v>
      </c>
      <c r="CQ213" s="69">
        <f>INDEX(inp_da_monthly,11)</f>
        <v>0</v>
      </c>
      <c r="CR213" s="69">
        <f>INDEX(inp_da_monthly,12)</f>
        <v>0</v>
      </c>
      <c r="CS213" s="69">
        <f>INDEX(inp_da_monthly,13)</f>
        <v>0</v>
      </c>
      <c r="CT213" s="69">
        <f>INDEX(inp_da_monthly,14)</f>
        <v>0</v>
      </c>
      <c r="CU213" s="69">
        <f>INDEX(inp_da_monthly,15)</f>
        <v>0</v>
      </c>
      <c r="CV213" s="69">
        <f>INDEX(inp_da_monthly,16)</f>
        <v>0</v>
      </c>
      <c r="CW213" s="69">
        <f>INDEX(inp_da_monthly,17)</f>
        <v>0</v>
      </c>
      <c r="CX213" s="69">
        <f>INDEX(inp_da_monthly,18)</f>
        <v>0</v>
      </c>
      <c r="CY213" s="69">
        <f>INDEX(inp_da_monthly,19)</f>
        <v>0</v>
      </c>
      <c r="CZ213" s="69">
        <f>INDEX(inp_da_monthly,20)</f>
        <v>0</v>
      </c>
      <c r="DA213" s="69">
        <f>INDEX(inp_da_monthly,21)</f>
        <v>0</v>
      </c>
      <c r="DB213" s="69">
        <f>INDEX(inp_da_monthly,22)</f>
        <v>0</v>
      </c>
      <c r="DC213" s="69">
        <f>INDEX(inp_da_monthly,23)</f>
        <v>0</v>
      </c>
      <c r="DD213" s="69">
        <f>INDEX(inp_da_monthly,24)</f>
        <v>0</v>
      </c>
      <c r="DE213" s="70">
        <f>SUM(CG213:CR213)</f>
        <v>0</v>
      </c>
      <c r="DF213" s="70">
        <f>SUM(CS213:DD213)</f>
        <v>0</v>
      </c>
      <c r="DG213"/>
      <c r="DH213"/>
    </row>
    <row r="214" spans="1:112" hidden="1" x14ac:dyDescent="0.2">
      <c r="A214" s="2"/>
      <c r="B214" s="35" t="s">
        <v>136</v>
      </c>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70">
        <f t="shared" ref="AE214:BB214" si="128">AE211-AE213</f>
        <v>0</v>
      </c>
      <c r="AF214" s="70">
        <f t="shared" si="128"/>
        <v>0</v>
      </c>
      <c r="AG214" s="70">
        <f t="shared" si="128"/>
        <v>0</v>
      </c>
      <c r="AH214" s="70">
        <f t="shared" si="128"/>
        <v>0</v>
      </c>
      <c r="AI214" s="70">
        <f t="shared" si="128"/>
        <v>0</v>
      </c>
      <c r="AJ214" s="70">
        <f t="shared" si="128"/>
        <v>0</v>
      </c>
      <c r="AK214" s="70">
        <f t="shared" si="128"/>
        <v>0</v>
      </c>
      <c r="AL214" s="70">
        <f t="shared" si="128"/>
        <v>0</v>
      </c>
      <c r="AM214" s="70">
        <f t="shared" si="128"/>
        <v>0</v>
      </c>
      <c r="AN214" s="70">
        <f t="shared" si="128"/>
        <v>0</v>
      </c>
      <c r="AO214" s="70">
        <f t="shared" si="128"/>
        <v>0</v>
      </c>
      <c r="AP214" s="70">
        <f t="shared" si="128"/>
        <v>0</v>
      </c>
      <c r="AQ214" s="70">
        <f t="shared" si="128"/>
        <v>0</v>
      </c>
      <c r="AR214" s="70">
        <f t="shared" si="128"/>
        <v>0</v>
      </c>
      <c r="AS214" s="70">
        <f t="shared" si="128"/>
        <v>0</v>
      </c>
      <c r="AT214" s="70">
        <f t="shared" si="128"/>
        <v>0</v>
      </c>
      <c r="AU214" s="70">
        <f t="shared" si="128"/>
        <v>0</v>
      </c>
      <c r="AV214" s="70">
        <f t="shared" si="128"/>
        <v>0</v>
      </c>
      <c r="AW214" s="70">
        <f t="shared" si="128"/>
        <v>0</v>
      </c>
      <c r="AX214" s="70">
        <f t="shared" si="128"/>
        <v>0</v>
      </c>
      <c r="AY214" s="70">
        <f t="shared" si="128"/>
        <v>0</v>
      </c>
      <c r="AZ214" s="70">
        <f t="shared" si="128"/>
        <v>0</v>
      </c>
      <c r="BA214" s="70">
        <f t="shared" si="128"/>
        <v>0</v>
      </c>
      <c r="BB214" s="70">
        <f t="shared" si="128"/>
        <v>0</v>
      </c>
      <c r="BC214" s="70">
        <f>SUM(AE214:AP214)</f>
        <v>0</v>
      </c>
      <c r="BD214" s="70">
        <f>SUM(AQ214:BB214)</f>
        <v>0</v>
      </c>
      <c r="BE214" s="2"/>
      <c r="BF214" s="70">
        <f t="shared" ref="BF214:CC214" si="129">BF211-BF213</f>
        <v>0</v>
      </c>
      <c r="BG214" s="70">
        <f t="shared" si="129"/>
        <v>0</v>
      </c>
      <c r="BH214" s="70">
        <f t="shared" si="129"/>
        <v>0</v>
      </c>
      <c r="BI214" s="70">
        <f t="shared" si="129"/>
        <v>0</v>
      </c>
      <c r="BJ214" s="70">
        <f t="shared" si="129"/>
        <v>0</v>
      </c>
      <c r="BK214" s="70">
        <f t="shared" si="129"/>
        <v>0</v>
      </c>
      <c r="BL214" s="70">
        <f t="shared" si="129"/>
        <v>0</v>
      </c>
      <c r="BM214" s="70">
        <f t="shared" si="129"/>
        <v>0</v>
      </c>
      <c r="BN214" s="70">
        <f t="shared" si="129"/>
        <v>0</v>
      </c>
      <c r="BO214" s="70">
        <f t="shared" si="129"/>
        <v>0</v>
      </c>
      <c r="BP214" s="70">
        <f t="shared" si="129"/>
        <v>0</v>
      </c>
      <c r="BQ214" s="70">
        <f t="shared" si="129"/>
        <v>0</v>
      </c>
      <c r="BR214" s="70">
        <f t="shared" si="129"/>
        <v>0</v>
      </c>
      <c r="BS214" s="70">
        <f t="shared" si="129"/>
        <v>0</v>
      </c>
      <c r="BT214" s="70">
        <f t="shared" si="129"/>
        <v>0</v>
      </c>
      <c r="BU214" s="70">
        <f t="shared" si="129"/>
        <v>0</v>
      </c>
      <c r="BV214" s="70">
        <f t="shared" si="129"/>
        <v>0</v>
      </c>
      <c r="BW214" s="70">
        <f t="shared" si="129"/>
        <v>0</v>
      </c>
      <c r="BX214" s="70">
        <f t="shared" si="129"/>
        <v>0</v>
      </c>
      <c r="BY214" s="70">
        <f t="shared" si="129"/>
        <v>0</v>
      </c>
      <c r="BZ214" s="70">
        <f t="shared" si="129"/>
        <v>0</v>
      </c>
      <c r="CA214" s="70">
        <f t="shared" si="129"/>
        <v>0</v>
      </c>
      <c r="CB214" s="70">
        <f t="shared" si="129"/>
        <v>0</v>
      </c>
      <c r="CC214" s="70">
        <f t="shared" si="129"/>
        <v>0</v>
      </c>
      <c r="CD214" s="70">
        <f>SUM(BF214:BQ214)</f>
        <v>0</v>
      </c>
      <c r="CE214" s="70">
        <f>SUM(BR214:CC214)</f>
        <v>0</v>
      </c>
      <c r="CF214" s="2"/>
      <c r="CG214" s="70">
        <f t="shared" ref="CG214:DD214" si="130">CG211-CG213</f>
        <v>0</v>
      </c>
      <c r="CH214" s="70">
        <f t="shared" si="130"/>
        <v>0</v>
      </c>
      <c r="CI214" s="70">
        <f t="shared" si="130"/>
        <v>0</v>
      </c>
      <c r="CJ214" s="70">
        <f t="shared" si="130"/>
        <v>0</v>
      </c>
      <c r="CK214" s="70">
        <f t="shared" si="130"/>
        <v>0</v>
      </c>
      <c r="CL214" s="70">
        <f t="shared" si="130"/>
        <v>0</v>
      </c>
      <c r="CM214" s="70">
        <f t="shared" si="130"/>
        <v>0</v>
      </c>
      <c r="CN214" s="70">
        <f t="shared" si="130"/>
        <v>0</v>
      </c>
      <c r="CO214" s="70">
        <f t="shared" si="130"/>
        <v>0</v>
      </c>
      <c r="CP214" s="70">
        <f t="shared" si="130"/>
        <v>0</v>
      </c>
      <c r="CQ214" s="70">
        <f t="shared" si="130"/>
        <v>0</v>
      </c>
      <c r="CR214" s="70">
        <f t="shared" si="130"/>
        <v>0</v>
      </c>
      <c r="CS214" s="70">
        <f t="shared" si="130"/>
        <v>0</v>
      </c>
      <c r="CT214" s="70">
        <f t="shared" si="130"/>
        <v>0</v>
      </c>
      <c r="CU214" s="70">
        <f t="shared" si="130"/>
        <v>0</v>
      </c>
      <c r="CV214" s="70">
        <f t="shared" si="130"/>
        <v>0</v>
      </c>
      <c r="CW214" s="70">
        <f t="shared" si="130"/>
        <v>0</v>
      </c>
      <c r="CX214" s="70">
        <f t="shared" si="130"/>
        <v>0</v>
      </c>
      <c r="CY214" s="70">
        <f t="shared" si="130"/>
        <v>0</v>
      </c>
      <c r="CZ214" s="70">
        <f t="shared" si="130"/>
        <v>0</v>
      </c>
      <c r="DA214" s="70">
        <f t="shared" si="130"/>
        <v>0</v>
      </c>
      <c r="DB214" s="70">
        <f t="shared" si="130"/>
        <v>0</v>
      </c>
      <c r="DC214" s="70">
        <f t="shared" si="130"/>
        <v>0</v>
      </c>
      <c r="DD214" s="70">
        <f t="shared" si="130"/>
        <v>0</v>
      </c>
      <c r="DE214" s="70">
        <f>SUM(CG214:CR214)</f>
        <v>0</v>
      </c>
      <c r="DF214" s="70">
        <f>SUM(CS214:DD214)</f>
        <v>0</v>
      </c>
      <c r="DG214"/>
      <c r="DH214"/>
    </row>
    <row r="215" spans="1:112" hidden="1" x14ac:dyDescent="0.2">
      <c r="A215" s="2"/>
      <c r="B215" s="35" t="s">
        <v>137</v>
      </c>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69">
        <f>inp_open_debt</f>
        <v>0</v>
      </c>
      <c r="AF215" s="69">
        <f t="shared" ref="AF215:BB215" si="131">AE261</f>
        <v>0</v>
      </c>
      <c r="AG215" s="69">
        <f t="shared" si="131"/>
        <v>0</v>
      </c>
      <c r="AH215" s="69">
        <f t="shared" si="131"/>
        <v>0</v>
      </c>
      <c r="AI215" s="69">
        <f t="shared" si="131"/>
        <v>0</v>
      </c>
      <c r="AJ215" s="69">
        <f t="shared" si="131"/>
        <v>0</v>
      </c>
      <c r="AK215" s="69">
        <f t="shared" si="131"/>
        <v>0</v>
      </c>
      <c r="AL215" s="69">
        <f t="shared" si="131"/>
        <v>0</v>
      </c>
      <c r="AM215" s="69">
        <f t="shared" si="131"/>
        <v>0</v>
      </c>
      <c r="AN215" s="69">
        <f t="shared" si="131"/>
        <v>0</v>
      </c>
      <c r="AO215" s="69">
        <f t="shared" si="131"/>
        <v>0</v>
      </c>
      <c r="AP215" s="69">
        <f t="shared" si="131"/>
        <v>0</v>
      </c>
      <c r="AQ215" s="69">
        <f t="shared" si="131"/>
        <v>0</v>
      </c>
      <c r="AR215" s="69">
        <f t="shared" si="131"/>
        <v>0</v>
      </c>
      <c r="AS215" s="69">
        <f t="shared" si="131"/>
        <v>0</v>
      </c>
      <c r="AT215" s="69">
        <f t="shared" si="131"/>
        <v>0</v>
      </c>
      <c r="AU215" s="69">
        <f t="shared" si="131"/>
        <v>0</v>
      </c>
      <c r="AV215" s="69">
        <f t="shared" si="131"/>
        <v>0</v>
      </c>
      <c r="AW215" s="69">
        <f t="shared" si="131"/>
        <v>0</v>
      </c>
      <c r="AX215" s="69">
        <f t="shared" si="131"/>
        <v>0</v>
      </c>
      <c r="AY215" s="69">
        <f t="shared" si="131"/>
        <v>0</v>
      </c>
      <c r="AZ215" s="69">
        <f t="shared" si="131"/>
        <v>0</v>
      </c>
      <c r="BA215" s="69">
        <f t="shared" si="131"/>
        <v>0</v>
      </c>
      <c r="BB215" s="69">
        <f t="shared" si="131"/>
        <v>0</v>
      </c>
      <c r="BC215" s="70">
        <f>AP215</f>
        <v>0</v>
      </c>
      <c r="BD215" s="70">
        <f>BB215</f>
        <v>0</v>
      </c>
      <c r="BE215" s="2"/>
      <c r="BF215" s="69">
        <f>inp_open_debt</f>
        <v>0</v>
      </c>
      <c r="BG215" s="69">
        <f t="shared" ref="BG215:CC215" si="132">BF261</f>
        <v>0</v>
      </c>
      <c r="BH215" s="69">
        <f t="shared" si="132"/>
        <v>0</v>
      </c>
      <c r="BI215" s="69">
        <f t="shared" si="132"/>
        <v>0</v>
      </c>
      <c r="BJ215" s="69">
        <f t="shared" si="132"/>
        <v>0</v>
      </c>
      <c r="BK215" s="69">
        <f t="shared" si="132"/>
        <v>0</v>
      </c>
      <c r="BL215" s="69">
        <f t="shared" si="132"/>
        <v>0</v>
      </c>
      <c r="BM215" s="69">
        <f t="shared" si="132"/>
        <v>0</v>
      </c>
      <c r="BN215" s="69">
        <f t="shared" si="132"/>
        <v>0</v>
      </c>
      <c r="BO215" s="69">
        <f t="shared" si="132"/>
        <v>0</v>
      </c>
      <c r="BP215" s="69">
        <f t="shared" si="132"/>
        <v>0</v>
      </c>
      <c r="BQ215" s="69">
        <f t="shared" si="132"/>
        <v>0</v>
      </c>
      <c r="BR215" s="69">
        <f t="shared" si="132"/>
        <v>0</v>
      </c>
      <c r="BS215" s="69">
        <f t="shared" si="132"/>
        <v>0</v>
      </c>
      <c r="BT215" s="69">
        <f t="shared" si="132"/>
        <v>0</v>
      </c>
      <c r="BU215" s="69">
        <f t="shared" si="132"/>
        <v>0</v>
      </c>
      <c r="BV215" s="69">
        <f t="shared" si="132"/>
        <v>0</v>
      </c>
      <c r="BW215" s="69">
        <f t="shared" si="132"/>
        <v>0</v>
      </c>
      <c r="BX215" s="69">
        <f t="shared" si="132"/>
        <v>0</v>
      </c>
      <c r="BY215" s="69">
        <f t="shared" si="132"/>
        <v>0</v>
      </c>
      <c r="BZ215" s="69">
        <f t="shared" si="132"/>
        <v>0</v>
      </c>
      <c r="CA215" s="69">
        <f t="shared" si="132"/>
        <v>0</v>
      </c>
      <c r="CB215" s="69">
        <f t="shared" si="132"/>
        <v>0</v>
      </c>
      <c r="CC215" s="69">
        <f t="shared" si="132"/>
        <v>0</v>
      </c>
      <c r="CD215" s="70">
        <f>BQ215</f>
        <v>0</v>
      </c>
      <c r="CE215" s="70">
        <f>CC215</f>
        <v>0</v>
      </c>
      <c r="CF215" s="2"/>
      <c r="CG215" s="69">
        <f>inp_open_debt</f>
        <v>0</v>
      </c>
      <c r="CH215" s="69">
        <f t="shared" ref="CH215:DD215" si="133">CG261</f>
        <v>0</v>
      </c>
      <c r="CI215" s="69">
        <f t="shared" si="133"/>
        <v>0</v>
      </c>
      <c r="CJ215" s="69">
        <f t="shared" si="133"/>
        <v>0</v>
      </c>
      <c r="CK215" s="69">
        <f t="shared" si="133"/>
        <v>0</v>
      </c>
      <c r="CL215" s="69">
        <f t="shared" si="133"/>
        <v>0</v>
      </c>
      <c r="CM215" s="69">
        <f t="shared" si="133"/>
        <v>0</v>
      </c>
      <c r="CN215" s="69">
        <f t="shared" si="133"/>
        <v>0</v>
      </c>
      <c r="CO215" s="69">
        <f t="shared" si="133"/>
        <v>0</v>
      </c>
      <c r="CP215" s="69">
        <f t="shared" si="133"/>
        <v>0</v>
      </c>
      <c r="CQ215" s="69">
        <f t="shared" si="133"/>
        <v>0</v>
      </c>
      <c r="CR215" s="69">
        <f t="shared" si="133"/>
        <v>0</v>
      </c>
      <c r="CS215" s="69">
        <f t="shared" si="133"/>
        <v>0</v>
      </c>
      <c r="CT215" s="69">
        <f t="shared" si="133"/>
        <v>0</v>
      </c>
      <c r="CU215" s="69">
        <f t="shared" si="133"/>
        <v>0</v>
      </c>
      <c r="CV215" s="69">
        <f t="shared" si="133"/>
        <v>0</v>
      </c>
      <c r="CW215" s="69">
        <f t="shared" si="133"/>
        <v>0</v>
      </c>
      <c r="CX215" s="69">
        <f t="shared" si="133"/>
        <v>0</v>
      </c>
      <c r="CY215" s="69">
        <f t="shared" si="133"/>
        <v>0</v>
      </c>
      <c r="CZ215" s="69">
        <f t="shared" si="133"/>
        <v>0</v>
      </c>
      <c r="DA215" s="69">
        <f t="shared" si="133"/>
        <v>0</v>
      </c>
      <c r="DB215" s="69">
        <f t="shared" si="133"/>
        <v>0</v>
      </c>
      <c r="DC215" s="69">
        <f t="shared" si="133"/>
        <v>0</v>
      </c>
      <c r="DD215" s="69">
        <f t="shared" si="133"/>
        <v>0</v>
      </c>
      <c r="DE215" s="70">
        <f>CR215</f>
        <v>0</v>
      </c>
      <c r="DF215" s="70">
        <f>DD215</f>
        <v>0</v>
      </c>
      <c r="DG215"/>
      <c r="DH215"/>
    </row>
    <row r="216" spans="1:112" hidden="1" x14ac:dyDescent="0.2">
      <c r="A216" s="2"/>
      <c r="B216" s="35" t="s">
        <v>138</v>
      </c>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69">
        <f t="shared" ref="AE216:BB216" si="134">AE215*inp_int_rate/12</f>
        <v>0</v>
      </c>
      <c r="AF216" s="69">
        <f t="shared" si="134"/>
        <v>0</v>
      </c>
      <c r="AG216" s="69">
        <f t="shared" si="134"/>
        <v>0</v>
      </c>
      <c r="AH216" s="69">
        <f t="shared" si="134"/>
        <v>0</v>
      </c>
      <c r="AI216" s="69">
        <f t="shared" si="134"/>
        <v>0</v>
      </c>
      <c r="AJ216" s="69">
        <f t="shared" si="134"/>
        <v>0</v>
      </c>
      <c r="AK216" s="69">
        <f t="shared" si="134"/>
        <v>0</v>
      </c>
      <c r="AL216" s="69">
        <f t="shared" si="134"/>
        <v>0</v>
      </c>
      <c r="AM216" s="69">
        <f t="shared" si="134"/>
        <v>0</v>
      </c>
      <c r="AN216" s="69">
        <f t="shared" si="134"/>
        <v>0</v>
      </c>
      <c r="AO216" s="69">
        <f t="shared" si="134"/>
        <v>0</v>
      </c>
      <c r="AP216" s="69">
        <f t="shared" si="134"/>
        <v>0</v>
      </c>
      <c r="AQ216" s="69">
        <f t="shared" si="134"/>
        <v>0</v>
      </c>
      <c r="AR216" s="69">
        <f t="shared" si="134"/>
        <v>0</v>
      </c>
      <c r="AS216" s="69">
        <f t="shared" si="134"/>
        <v>0</v>
      </c>
      <c r="AT216" s="69">
        <f t="shared" si="134"/>
        <v>0</v>
      </c>
      <c r="AU216" s="69">
        <f t="shared" si="134"/>
        <v>0</v>
      </c>
      <c r="AV216" s="69">
        <f t="shared" si="134"/>
        <v>0</v>
      </c>
      <c r="AW216" s="69">
        <f t="shared" si="134"/>
        <v>0</v>
      </c>
      <c r="AX216" s="69">
        <f t="shared" si="134"/>
        <v>0</v>
      </c>
      <c r="AY216" s="69">
        <f t="shared" si="134"/>
        <v>0</v>
      </c>
      <c r="AZ216" s="69">
        <f t="shared" si="134"/>
        <v>0</v>
      </c>
      <c r="BA216" s="69">
        <f t="shared" si="134"/>
        <v>0</v>
      </c>
      <c r="BB216" s="69">
        <f t="shared" si="134"/>
        <v>0</v>
      </c>
      <c r="BC216" s="70">
        <f>SUM(AE216:AP216)</f>
        <v>0</v>
      </c>
      <c r="BD216" s="70">
        <f>SUM(AQ216:BB216)</f>
        <v>0</v>
      </c>
      <c r="BE216" s="2"/>
      <c r="BF216" s="69">
        <f t="shared" ref="BF216:CC216" si="135">BF215*inp_int_rate/12</f>
        <v>0</v>
      </c>
      <c r="BG216" s="69">
        <f t="shared" si="135"/>
        <v>0</v>
      </c>
      <c r="BH216" s="69">
        <f t="shared" si="135"/>
        <v>0</v>
      </c>
      <c r="BI216" s="69">
        <f t="shared" si="135"/>
        <v>0</v>
      </c>
      <c r="BJ216" s="69">
        <f t="shared" si="135"/>
        <v>0</v>
      </c>
      <c r="BK216" s="69">
        <f t="shared" si="135"/>
        <v>0</v>
      </c>
      <c r="BL216" s="69">
        <f t="shared" si="135"/>
        <v>0</v>
      </c>
      <c r="BM216" s="69">
        <f t="shared" si="135"/>
        <v>0</v>
      </c>
      <c r="BN216" s="69">
        <f t="shared" si="135"/>
        <v>0</v>
      </c>
      <c r="BO216" s="69">
        <f t="shared" si="135"/>
        <v>0</v>
      </c>
      <c r="BP216" s="69">
        <f t="shared" si="135"/>
        <v>0</v>
      </c>
      <c r="BQ216" s="69">
        <f t="shared" si="135"/>
        <v>0</v>
      </c>
      <c r="BR216" s="69">
        <f t="shared" si="135"/>
        <v>0</v>
      </c>
      <c r="BS216" s="69">
        <f t="shared" si="135"/>
        <v>0</v>
      </c>
      <c r="BT216" s="69">
        <f t="shared" si="135"/>
        <v>0</v>
      </c>
      <c r="BU216" s="69">
        <f t="shared" si="135"/>
        <v>0</v>
      </c>
      <c r="BV216" s="69">
        <f t="shared" si="135"/>
        <v>0</v>
      </c>
      <c r="BW216" s="69">
        <f t="shared" si="135"/>
        <v>0</v>
      </c>
      <c r="BX216" s="69">
        <f t="shared" si="135"/>
        <v>0</v>
      </c>
      <c r="BY216" s="69">
        <f t="shared" si="135"/>
        <v>0</v>
      </c>
      <c r="BZ216" s="69">
        <f t="shared" si="135"/>
        <v>0</v>
      </c>
      <c r="CA216" s="69">
        <f t="shared" si="135"/>
        <v>0</v>
      </c>
      <c r="CB216" s="69">
        <f t="shared" si="135"/>
        <v>0</v>
      </c>
      <c r="CC216" s="69">
        <f t="shared" si="135"/>
        <v>0</v>
      </c>
      <c r="CD216" s="70">
        <f>SUM(BF216:BQ216)</f>
        <v>0</v>
      </c>
      <c r="CE216" s="70">
        <f>SUM(BR216:CC216)</f>
        <v>0</v>
      </c>
      <c r="CF216" s="2"/>
      <c r="CG216" s="69">
        <f t="shared" ref="CG216:DD216" si="136">CG215*inp_int_rate/12</f>
        <v>0</v>
      </c>
      <c r="CH216" s="69">
        <f t="shared" si="136"/>
        <v>0</v>
      </c>
      <c r="CI216" s="69">
        <f t="shared" si="136"/>
        <v>0</v>
      </c>
      <c r="CJ216" s="69">
        <f t="shared" si="136"/>
        <v>0</v>
      </c>
      <c r="CK216" s="69">
        <f t="shared" si="136"/>
        <v>0</v>
      </c>
      <c r="CL216" s="69">
        <f t="shared" si="136"/>
        <v>0</v>
      </c>
      <c r="CM216" s="69">
        <f t="shared" si="136"/>
        <v>0</v>
      </c>
      <c r="CN216" s="69">
        <f t="shared" si="136"/>
        <v>0</v>
      </c>
      <c r="CO216" s="69">
        <f t="shared" si="136"/>
        <v>0</v>
      </c>
      <c r="CP216" s="69">
        <f t="shared" si="136"/>
        <v>0</v>
      </c>
      <c r="CQ216" s="69">
        <f t="shared" si="136"/>
        <v>0</v>
      </c>
      <c r="CR216" s="69">
        <f t="shared" si="136"/>
        <v>0</v>
      </c>
      <c r="CS216" s="69">
        <f t="shared" si="136"/>
        <v>0</v>
      </c>
      <c r="CT216" s="69">
        <f t="shared" si="136"/>
        <v>0</v>
      </c>
      <c r="CU216" s="69">
        <f t="shared" si="136"/>
        <v>0</v>
      </c>
      <c r="CV216" s="69">
        <f t="shared" si="136"/>
        <v>0</v>
      </c>
      <c r="CW216" s="69">
        <f t="shared" si="136"/>
        <v>0</v>
      </c>
      <c r="CX216" s="69">
        <f t="shared" si="136"/>
        <v>0</v>
      </c>
      <c r="CY216" s="69">
        <f t="shared" si="136"/>
        <v>0</v>
      </c>
      <c r="CZ216" s="69">
        <f t="shared" si="136"/>
        <v>0</v>
      </c>
      <c r="DA216" s="69">
        <f t="shared" si="136"/>
        <v>0</v>
      </c>
      <c r="DB216" s="69">
        <f t="shared" si="136"/>
        <v>0</v>
      </c>
      <c r="DC216" s="69">
        <f t="shared" si="136"/>
        <v>0</v>
      </c>
      <c r="DD216" s="69">
        <f t="shared" si="136"/>
        <v>0</v>
      </c>
      <c r="DE216" s="70">
        <f>SUM(CG216:CR216)</f>
        <v>0</v>
      </c>
      <c r="DF216" s="70">
        <f>SUM(CS216:DD216)</f>
        <v>0</v>
      </c>
      <c r="DG216"/>
      <c r="DH216"/>
    </row>
    <row r="217" spans="1:112" hidden="1" x14ac:dyDescent="0.2">
      <c r="A217" s="2"/>
      <c r="B217" s="35" t="s">
        <v>139</v>
      </c>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70">
        <f t="shared" ref="AE217:BB217" si="137">AE214-AE216</f>
        <v>0</v>
      </c>
      <c r="AF217" s="70">
        <f t="shared" si="137"/>
        <v>0</v>
      </c>
      <c r="AG217" s="70">
        <f t="shared" si="137"/>
        <v>0</v>
      </c>
      <c r="AH217" s="70">
        <f t="shared" si="137"/>
        <v>0</v>
      </c>
      <c r="AI217" s="70">
        <f t="shared" si="137"/>
        <v>0</v>
      </c>
      <c r="AJ217" s="70">
        <f t="shared" si="137"/>
        <v>0</v>
      </c>
      <c r="AK217" s="70">
        <f t="shared" si="137"/>
        <v>0</v>
      </c>
      <c r="AL217" s="70">
        <f t="shared" si="137"/>
        <v>0</v>
      </c>
      <c r="AM217" s="70">
        <f t="shared" si="137"/>
        <v>0</v>
      </c>
      <c r="AN217" s="70">
        <f t="shared" si="137"/>
        <v>0</v>
      </c>
      <c r="AO217" s="70">
        <f t="shared" si="137"/>
        <v>0</v>
      </c>
      <c r="AP217" s="70">
        <f t="shared" si="137"/>
        <v>0</v>
      </c>
      <c r="AQ217" s="70">
        <f t="shared" si="137"/>
        <v>0</v>
      </c>
      <c r="AR217" s="70">
        <f t="shared" si="137"/>
        <v>0</v>
      </c>
      <c r="AS217" s="70">
        <f t="shared" si="137"/>
        <v>0</v>
      </c>
      <c r="AT217" s="70">
        <f t="shared" si="137"/>
        <v>0</v>
      </c>
      <c r="AU217" s="70">
        <f t="shared" si="137"/>
        <v>0</v>
      </c>
      <c r="AV217" s="70">
        <f t="shared" si="137"/>
        <v>0</v>
      </c>
      <c r="AW217" s="70">
        <f t="shared" si="137"/>
        <v>0</v>
      </c>
      <c r="AX217" s="70">
        <f t="shared" si="137"/>
        <v>0</v>
      </c>
      <c r="AY217" s="70">
        <f t="shared" si="137"/>
        <v>0</v>
      </c>
      <c r="AZ217" s="70">
        <f t="shared" si="137"/>
        <v>0</v>
      </c>
      <c r="BA217" s="70">
        <f t="shared" si="137"/>
        <v>0</v>
      </c>
      <c r="BB217" s="70">
        <f t="shared" si="137"/>
        <v>0</v>
      </c>
      <c r="BC217" s="70">
        <f>SUM(AE217:AP217)</f>
        <v>0</v>
      </c>
      <c r="BD217" s="70">
        <f>SUM(AQ217:BB217)</f>
        <v>0</v>
      </c>
      <c r="BE217" s="2"/>
      <c r="BF217" s="70">
        <f t="shared" ref="BF217:CC217" si="138">BF214-BF216</f>
        <v>0</v>
      </c>
      <c r="BG217" s="70">
        <f t="shared" si="138"/>
        <v>0</v>
      </c>
      <c r="BH217" s="70">
        <f t="shared" si="138"/>
        <v>0</v>
      </c>
      <c r="BI217" s="70">
        <f t="shared" si="138"/>
        <v>0</v>
      </c>
      <c r="BJ217" s="70">
        <f t="shared" si="138"/>
        <v>0</v>
      </c>
      <c r="BK217" s="70">
        <f t="shared" si="138"/>
        <v>0</v>
      </c>
      <c r="BL217" s="70">
        <f t="shared" si="138"/>
        <v>0</v>
      </c>
      <c r="BM217" s="70">
        <f t="shared" si="138"/>
        <v>0</v>
      </c>
      <c r="BN217" s="70">
        <f t="shared" si="138"/>
        <v>0</v>
      </c>
      <c r="BO217" s="70">
        <f t="shared" si="138"/>
        <v>0</v>
      </c>
      <c r="BP217" s="70">
        <f t="shared" si="138"/>
        <v>0</v>
      </c>
      <c r="BQ217" s="70">
        <f t="shared" si="138"/>
        <v>0</v>
      </c>
      <c r="BR217" s="70">
        <f t="shared" si="138"/>
        <v>0</v>
      </c>
      <c r="BS217" s="70">
        <f t="shared" si="138"/>
        <v>0</v>
      </c>
      <c r="BT217" s="70">
        <f t="shared" si="138"/>
        <v>0</v>
      </c>
      <c r="BU217" s="70">
        <f t="shared" si="138"/>
        <v>0</v>
      </c>
      <c r="BV217" s="70">
        <f t="shared" si="138"/>
        <v>0</v>
      </c>
      <c r="BW217" s="70">
        <f t="shared" si="138"/>
        <v>0</v>
      </c>
      <c r="BX217" s="70">
        <f t="shared" si="138"/>
        <v>0</v>
      </c>
      <c r="BY217" s="70">
        <f t="shared" si="138"/>
        <v>0</v>
      </c>
      <c r="BZ217" s="70">
        <f t="shared" si="138"/>
        <v>0</v>
      </c>
      <c r="CA217" s="70">
        <f t="shared" si="138"/>
        <v>0</v>
      </c>
      <c r="CB217" s="70">
        <f t="shared" si="138"/>
        <v>0</v>
      </c>
      <c r="CC217" s="70">
        <f t="shared" si="138"/>
        <v>0</v>
      </c>
      <c r="CD217" s="70">
        <f>SUM(BF217:BQ217)</f>
        <v>0</v>
      </c>
      <c r="CE217" s="70">
        <f>SUM(BR217:CC217)</f>
        <v>0</v>
      </c>
      <c r="CF217" s="2"/>
      <c r="CG217" s="70">
        <f t="shared" ref="CG217:DD217" si="139">CG214-CG216</f>
        <v>0</v>
      </c>
      <c r="CH217" s="70">
        <f t="shared" si="139"/>
        <v>0</v>
      </c>
      <c r="CI217" s="70">
        <f t="shared" si="139"/>
        <v>0</v>
      </c>
      <c r="CJ217" s="70">
        <f t="shared" si="139"/>
        <v>0</v>
      </c>
      <c r="CK217" s="70">
        <f t="shared" si="139"/>
        <v>0</v>
      </c>
      <c r="CL217" s="70">
        <f t="shared" si="139"/>
        <v>0</v>
      </c>
      <c r="CM217" s="70">
        <f t="shared" si="139"/>
        <v>0</v>
      </c>
      <c r="CN217" s="70">
        <f t="shared" si="139"/>
        <v>0</v>
      </c>
      <c r="CO217" s="70">
        <f t="shared" si="139"/>
        <v>0</v>
      </c>
      <c r="CP217" s="70">
        <f t="shared" si="139"/>
        <v>0</v>
      </c>
      <c r="CQ217" s="70">
        <f t="shared" si="139"/>
        <v>0</v>
      </c>
      <c r="CR217" s="70">
        <f t="shared" si="139"/>
        <v>0</v>
      </c>
      <c r="CS217" s="70">
        <f t="shared" si="139"/>
        <v>0</v>
      </c>
      <c r="CT217" s="70">
        <f t="shared" si="139"/>
        <v>0</v>
      </c>
      <c r="CU217" s="70">
        <f t="shared" si="139"/>
        <v>0</v>
      </c>
      <c r="CV217" s="70">
        <f t="shared" si="139"/>
        <v>0</v>
      </c>
      <c r="CW217" s="70">
        <f t="shared" si="139"/>
        <v>0</v>
      </c>
      <c r="CX217" s="70">
        <f t="shared" si="139"/>
        <v>0</v>
      </c>
      <c r="CY217" s="70">
        <f t="shared" si="139"/>
        <v>0</v>
      </c>
      <c r="CZ217" s="70">
        <f t="shared" si="139"/>
        <v>0</v>
      </c>
      <c r="DA217" s="70">
        <f t="shared" si="139"/>
        <v>0</v>
      </c>
      <c r="DB217" s="70">
        <f t="shared" si="139"/>
        <v>0</v>
      </c>
      <c r="DC217" s="70">
        <f t="shared" si="139"/>
        <v>0</v>
      </c>
      <c r="DD217" s="70">
        <f t="shared" si="139"/>
        <v>0</v>
      </c>
      <c r="DE217" s="70">
        <f>SUM(CG217:CR217)</f>
        <v>0</v>
      </c>
      <c r="DF217" s="70">
        <f>SUM(CS217:DD217)</f>
        <v>0</v>
      </c>
      <c r="DG217"/>
      <c r="DH217"/>
    </row>
    <row r="218" spans="1:112" hidden="1" x14ac:dyDescent="0.2">
      <c r="A218" s="2"/>
      <c r="B218" s="35" t="s">
        <v>140</v>
      </c>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69">
        <f t="shared" ref="AE218:BB218" si="140">MAX(0,AE217)*inp_tax_rate</f>
        <v>0</v>
      </c>
      <c r="AF218" s="69">
        <f t="shared" si="140"/>
        <v>0</v>
      </c>
      <c r="AG218" s="69">
        <f t="shared" si="140"/>
        <v>0</v>
      </c>
      <c r="AH218" s="69">
        <f t="shared" si="140"/>
        <v>0</v>
      </c>
      <c r="AI218" s="69">
        <f t="shared" si="140"/>
        <v>0</v>
      </c>
      <c r="AJ218" s="69">
        <f t="shared" si="140"/>
        <v>0</v>
      </c>
      <c r="AK218" s="69">
        <f t="shared" si="140"/>
        <v>0</v>
      </c>
      <c r="AL218" s="69">
        <f t="shared" si="140"/>
        <v>0</v>
      </c>
      <c r="AM218" s="69">
        <f t="shared" si="140"/>
        <v>0</v>
      </c>
      <c r="AN218" s="69">
        <f t="shared" si="140"/>
        <v>0</v>
      </c>
      <c r="AO218" s="69">
        <f t="shared" si="140"/>
        <v>0</v>
      </c>
      <c r="AP218" s="69">
        <f t="shared" si="140"/>
        <v>0</v>
      </c>
      <c r="AQ218" s="69">
        <f t="shared" si="140"/>
        <v>0</v>
      </c>
      <c r="AR218" s="69">
        <f t="shared" si="140"/>
        <v>0</v>
      </c>
      <c r="AS218" s="69">
        <f t="shared" si="140"/>
        <v>0</v>
      </c>
      <c r="AT218" s="69">
        <f t="shared" si="140"/>
        <v>0</v>
      </c>
      <c r="AU218" s="69">
        <f t="shared" si="140"/>
        <v>0</v>
      </c>
      <c r="AV218" s="69">
        <f t="shared" si="140"/>
        <v>0</v>
      </c>
      <c r="AW218" s="69">
        <f t="shared" si="140"/>
        <v>0</v>
      </c>
      <c r="AX218" s="69">
        <f t="shared" si="140"/>
        <v>0</v>
      </c>
      <c r="AY218" s="69">
        <f t="shared" si="140"/>
        <v>0</v>
      </c>
      <c r="AZ218" s="69">
        <f t="shared" si="140"/>
        <v>0</v>
      </c>
      <c r="BA218" s="69">
        <f t="shared" si="140"/>
        <v>0</v>
      </c>
      <c r="BB218" s="69">
        <f t="shared" si="140"/>
        <v>0</v>
      </c>
      <c r="BC218" s="70">
        <f>SUM(AE218:AP218)</f>
        <v>0</v>
      </c>
      <c r="BD218" s="70">
        <f>SUM(AQ218:BB218)</f>
        <v>0</v>
      </c>
      <c r="BE218" s="2"/>
      <c r="BF218" s="69">
        <f t="shared" ref="BF218:CC218" si="141">MAX(0,BF217)*inp_tax_rate</f>
        <v>0</v>
      </c>
      <c r="BG218" s="69">
        <f t="shared" si="141"/>
        <v>0</v>
      </c>
      <c r="BH218" s="69">
        <f t="shared" si="141"/>
        <v>0</v>
      </c>
      <c r="BI218" s="69">
        <f t="shared" si="141"/>
        <v>0</v>
      </c>
      <c r="BJ218" s="69">
        <f t="shared" si="141"/>
        <v>0</v>
      </c>
      <c r="BK218" s="69">
        <f t="shared" si="141"/>
        <v>0</v>
      </c>
      <c r="BL218" s="69">
        <f t="shared" si="141"/>
        <v>0</v>
      </c>
      <c r="BM218" s="69">
        <f t="shared" si="141"/>
        <v>0</v>
      </c>
      <c r="BN218" s="69">
        <f t="shared" si="141"/>
        <v>0</v>
      </c>
      <c r="BO218" s="69">
        <f t="shared" si="141"/>
        <v>0</v>
      </c>
      <c r="BP218" s="69">
        <f t="shared" si="141"/>
        <v>0</v>
      </c>
      <c r="BQ218" s="69">
        <f t="shared" si="141"/>
        <v>0</v>
      </c>
      <c r="BR218" s="69">
        <f t="shared" si="141"/>
        <v>0</v>
      </c>
      <c r="BS218" s="69">
        <f t="shared" si="141"/>
        <v>0</v>
      </c>
      <c r="BT218" s="69">
        <f t="shared" si="141"/>
        <v>0</v>
      </c>
      <c r="BU218" s="69">
        <f t="shared" si="141"/>
        <v>0</v>
      </c>
      <c r="BV218" s="69">
        <f t="shared" si="141"/>
        <v>0</v>
      </c>
      <c r="BW218" s="69">
        <f t="shared" si="141"/>
        <v>0</v>
      </c>
      <c r="BX218" s="69">
        <f t="shared" si="141"/>
        <v>0</v>
      </c>
      <c r="BY218" s="69">
        <f t="shared" si="141"/>
        <v>0</v>
      </c>
      <c r="BZ218" s="69">
        <f t="shared" si="141"/>
        <v>0</v>
      </c>
      <c r="CA218" s="69">
        <f t="shared" si="141"/>
        <v>0</v>
      </c>
      <c r="CB218" s="69">
        <f t="shared" si="141"/>
        <v>0</v>
      </c>
      <c r="CC218" s="69">
        <f t="shared" si="141"/>
        <v>0</v>
      </c>
      <c r="CD218" s="70">
        <f>SUM(BF218:BQ218)</f>
        <v>0</v>
      </c>
      <c r="CE218" s="70">
        <f>SUM(BR218:CC218)</f>
        <v>0</v>
      </c>
      <c r="CF218" s="2"/>
      <c r="CG218" s="69">
        <f t="shared" ref="CG218:DD218" si="142">MAX(0,CG217)*inp_tax_rate</f>
        <v>0</v>
      </c>
      <c r="CH218" s="69">
        <f t="shared" si="142"/>
        <v>0</v>
      </c>
      <c r="CI218" s="69">
        <f t="shared" si="142"/>
        <v>0</v>
      </c>
      <c r="CJ218" s="69">
        <f t="shared" si="142"/>
        <v>0</v>
      </c>
      <c r="CK218" s="69">
        <f t="shared" si="142"/>
        <v>0</v>
      </c>
      <c r="CL218" s="69">
        <f t="shared" si="142"/>
        <v>0</v>
      </c>
      <c r="CM218" s="69">
        <f t="shared" si="142"/>
        <v>0</v>
      </c>
      <c r="CN218" s="69">
        <f t="shared" si="142"/>
        <v>0</v>
      </c>
      <c r="CO218" s="69">
        <f t="shared" si="142"/>
        <v>0</v>
      </c>
      <c r="CP218" s="69">
        <f t="shared" si="142"/>
        <v>0</v>
      </c>
      <c r="CQ218" s="69">
        <f t="shared" si="142"/>
        <v>0</v>
      </c>
      <c r="CR218" s="69">
        <f t="shared" si="142"/>
        <v>0</v>
      </c>
      <c r="CS218" s="69">
        <f t="shared" si="142"/>
        <v>0</v>
      </c>
      <c r="CT218" s="69">
        <f t="shared" si="142"/>
        <v>0</v>
      </c>
      <c r="CU218" s="69">
        <f t="shared" si="142"/>
        <v>0</v>
      </c>
      <c r="CV218" s="69">
        <f t="shared" si="142"/>
        <v>0</v>
      </c>
      <c r="CW218" s="69">
        <f t="shared" si="142"/>
        <v>0</v>
      </c>
      <c r="CX218" s="69">
        <f t="shared" si="142"/>
        <v>0</v>
      </c>
      <c r="CY218" s="69">
        <f t="shared" si="142"/>
        <v>0</v>
      </c>
      <c r="CZ218" s="69">
        <f t="shared" si="142"/>
        <v>0</v>
      </c>
      <c r="DA218" s="69">
        <f t="shared" si="142"/>
        <v>0</v>
      </c>
      <c r="DB218" s="69">
        <f t="shared" si="142"/>
        <v>0</v>
      </c>
      <c r="DC218" s="69">
        <f t="shared" si="142"/>
        <v>0</v>
      </c>
      <c r="DD218" s="69">
        <f t="shared" si="142"/>
        <v>0</v>
      </c>
      <c r="DE218" s="70">
        <f>SUM(CG218:CR218)</f>
        <v>0</v>
      </c>
      <c r="DF218" s="70">
        <f>SUM(CS218:DD218)</f>
        <v>0</v>
      </c>
      <c r="DG218"/>
      <c r="DH218"/>
    </row>
    <row r="219" spans="1:112" hidden="1" x14ac:dyDescent="0.2">
      <c r="A219" s="2"/>
      <c r="B219" s="35" t="s">
        <v>141</v>
      </c>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70">
        <f t="shared" ref="AE219:BB219" si="143">AE217-AE218</f>
        <v>0</v>
      </c>
      <c r="AF219" s="70">
        <f t="shared" si="143"/>
        <v>0</v>
      </c>
      <c r="AG219" s="70">
        <f t="shared" si="143"/>
        <v>0</v>
      </c>
      <c r="AH219" s="70">
        <f t="shared" si="143"/>
        <v>0</v>
      </c>
      <c r="AI219" s="70">
        <f t="shared" si="143"/>
        <v>0</v>
      </c>
      <c r="AJ219" s="70">
        <f t="shared" si="143"/>
        <v>0</v>
      </c>
      <c r="AK219" s="70">
        <f t="shared" si="143"/>
        <v>0</v>
      </c>
      <c r="AL219" s="70">
        <f t="shared" si="143"/>
        <v>0</v>
      </c>
      <c r="AM219" s="70">
        <f t="shared" si="143"/>
        <v>0</v>
      </c>
      <c r="AN219" s="70">
        <f t="shared" si="143"/>
        <v>0</v>
      </c>
      <c r="AO219" s="70">
        <f t="shared" si="143"/>
        <v>0</v>
      </c>
      <c r="AP219" s="70">
        <f t="shared" si="143"/>
        <v>0</v>
      </c>
      <c r="AQ219" s="70">
        <f t="shared" si="143"/>
        <v>0</v>
      </c>
      <c r="AR219" s="70">
        <f t="shared" si="143"/>
        <v>0</v>
      </c>
      <c r="AS219" s="70">
        <f t="shared" si="143"/>
        <v>0</v>
      </c>
      <c r="AT219" s="70">
        <f t="shared" si="143"/>
        <v>0</v>
      </c>
      <c r="AU219" s="70">
        <f t="shared" si="143"/>
        <v>0</v>
      </c>
      <c r="AV219" s="70">
        <f t="shared" si="143"/>
        <v>0</v>
      </c>
      <c r="AW219" s="70">
        <f t="shared" si="143"/>
        <v>0</v>
      </c>
      <c r="AX219" s="70">
        <f t="shared" si="143"/>
        <v>0</v>
      </c>
      <c r="AY219" s="70">
        <f t="shared" si="143"/>
        <v>0</v>
      </c>
      <c r="AZ219" s="70">
        <f t="shared" si="143"/>
        <v>0</v>
      </c>
      <c r="BA219" s="70">
        <f t="shared" si="143"/>
        <v>0</v>
      </c>
      <c r="BB219" s="70">
        <f t="shared" si="143"/>
        <v>0</v>
      </c>
      <c r="BC219" s="70">
        <f>SUM(AE219:AP219)</f>
        <v>0</v>
      </c>
      <c r="BD219" s="70">
        <f>SUM(AQ219:BB219)</f>
        <v>0</v>
      </c>
      <c r="BE219" s="2"/>
      <c r="BF219" s="70">
        <f t="shared" ref="BF219:CC219" si="144">BF217-BF218</f>
        <v>0</v>
      </c>
      <c r="BG219" s="70">
        <f t="shared" si="144"/>
        <v>0</v>
      </c>
      <c r="BH219" s="70">
        <f t="shared" si="144"/>
        <v>0</v>
      </c>
      <c r="BI219" s="70">
        <f t="shared" si="144"/>
        <v>0</v>
      </c>
      <c r="BJ219" s="70">
        <f t="shared" si="144"/>
        <v>0</v>
      </c>
      <c r="BK219" s="70">
        <f t="shared" si="144"/>
        <v>0</v>
      </c>
      <c r="BL219" s="70">
        <f t="shared" si="144"/>
        <v>0</v>
      </c>
      <c r="BM219" s="70">
        <f t="shared" si="144"/>
        <v>0</v>
      </c>
      <c r="BN219" s="70">
        <f t="shared" si="144"/>
        <v>0</v>
      </c>
      <c r="BO219" s="70">
        <f t="shared" si="144"/>
        <v>0</v>
      </c>
      <c r="BP219" s="70">
        <f t="shared" si="144"/>
        <v>0</v>
      </c>
      <c r="BQ219" s="70">
        <f t="shared" si="144"/>
        <v>0</v>
      </c>
      <c r="BR219" s="70">
        <f t="shared" si="144"/>
        <v>0</v>
      </c>
      <c r="BS219" s="70">
        <f t="shared" si="144"/>
        <v>0</v>
      </c>
      <c r="BT219" s="70">
        <f t="shared" si="144"/>
        <v>0</v>
      </c>
      <c r="BU219" s="70">
        <f t="shared" si="144"/>
        <v>0</v>
      </c>
      <c r="BV219" s="70">
        <f t="shared" si="144"/>
        <v>0</v>
      </c>
      <c r="BW219" s="70">
        <f t="shared" si="144"/>
        <v>0</v>
      </c>
      <c r="BX219" s="70">
        <f t="shared" si="144"/>
        <v>0</v>
      </c>
      <c r="BY219" s="70">
        <f t="shared" si="144"/>
        <v>0</v>
      </c>
      <c r="BZ219" s="70">
        <f t="shared" si="144"/>
        <v>0</v>
      </c>
      <c r="CA219" s="70">
        <f t="shared" si="144"/>
        <v>0</v>
      </c>
      <c r="CB219" s="70">
        <f t="shared" si="144"/>
        <v>0</v>
      </c>
      <c r="CC219" s="70">
        <f t="shared" si="144"/>
        <v>0</v>
      </c>
      <c r="CD219" s="70">
        <f>SUM(BF219:BQ219)</f>
        <v>0</v>
      </c>
      <c r="CE219" s="70">
        <f>SUM(BR219:CC219)</f>
        <v>0</v>
      </c>
      <c r="CF219" s="2"/>
      <c r="CG219" s="70">
        <f t="shared" ref="CG219:DD219" si="145">CG217-CG218</f>
        <v>0</v>
      </c>
      <c r="CH219" s="70">
        <f t="shared" si="145"/>
        <v>0</v>
      </c>
      <c r="CI219" s="70">
        <f t="shared" si="145"/>
        <v>0</v>
      </c>
      <c r="CJ219" s="70">
        <f t="shared" si="145"/>
        <v>0</v>
      </c>
      <c r="CK219" s="70">
        <f t="shared" si="145"/>
        <v>0</v>
      </c>
      <c r="CL219" s="70">
        <f t="shared" si="145"/>
        <v>0</v>
      </c>
      <c r="CM219" s="70">
        <f t="shared" si="145"/>
        <v>0</v>
      </c>
      <c r="CN219" s="70">
        <f t="shared" si="145"/>
        <v>0</v>
      </c>
      <c r="CO219" s="70">
        <f t="shared" si="145"/>
        <v>0</v>
      </c>
      <c r="CP219" s="70">
        <f t="shared" si="145"/>
        <v>0</v>
      </c>
      <c r="CQ219" s="70">
        <f t="shared" si="145"/>
        <v>0</v>
      </c>
      <c r="CR219" s="70">
        <f t="shared" si="145"/>
        <v>0</v>
      </c>
      <c r="CS219" s="70">
        <f t="shared" si="145"/>
        <v>0</v>
      </c>
      <c r="CT219" s="70">
        <f t="shared" si="145"/>
        <v>0</v>
      </c>
      <c r="CU219" s="70">
        <f t="shared" si="145"/>
        <v>0</v>
      </c>
      <c r="CV219" s="70">
        <f t="shared" si="145"/>
        <v>0</v>
      </c>
      <c r="CW219" s="70">
        <f t="shared" si="145"/>
        <v>0</v>
      </c>
      <c r="CX219" s="70">
        <f t="shared" si="145"/>
        <v>0</v>
      </c>
      <c r="CY219" s="70">
        <f t="shared" si="145"/>
        <v>0</v>
      </c>
      <c r="CZ219" s="70">
        <f t="shared" si="145"/>
        <v>0</v>
      </c>
      <c r="DA219" s="70">
        <f t="shared" si="145"/>
        <v>0</v>
      </c>
      <c r="DB219" s="70">
        <f t="shared" si="145"/>
        <v>0</v>
      </c>
      <c r="DC219" s="70">
        <f t="shared" si="145"/>
        <v>0</v>
      </c>
      <c r="DD219" s="70">
        <f t="shared" si="145"/>
        <v>0</v>
      </c>
      <c r="DE219" s="70">
        <f>SUM(CG219:CR219)</f>
        <v>0</v>
      </c>
      <c r="DF219" s="70">
        <f>SUM(CS219:DD219)</f>
        <v>0</v>
      </c>
      <c r="DG219"/>
      <c r="DH219"/>
    </row>
    <row r="220" spans="1:112" hidden="1" x14ac:dyDescent="0.2">
      <c r="A220" s="2"/>
      <c r="B220" s="35" t="s">
        <v>142</v>
      </c>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32">
        <f t="shared" ref="AE220:BB220" si="146">IFERROR(AE219/AE190,0)</f>
        <v>0</v>
      </c>
      <c r="AF220" s="32">
        <f t="shared" si="146"/>
        <v>0</v>
      </c>
      <c r="AG220" s="32">
        <f t="shared" si="146"/>
        <v>0</v>
      </c>
      <c r="AH220" s="32">
        <f t="shared" si="146"/>
        <v>0</v>
      </c>
      <c r="AI220" s="32">
        <f t="shared" si="146"/>
        <v>0</v>
      </c>
      <c r="AJ220" s="32">
        <f t="shared" si="146"/>
        <v>0</v>
      </c>
      <c r="AK220" s="32">
        <f t="shared" si="146"/>
        <v>0</v>
      </c>
      <c r="AL220" s="32">
        <f t="shared" si="146"/>
        <v>0</v>
      </c>
      <c r="AM220" s="32">
        <f t="shared" si="146"/>
        <v>0</v>
      </c>
      <c r="AN220" s="32">
        <f t="shared" si="146"/>
        <v>0</v>
      </c>
      <c r="AO220" s="32">
        <f t="shared" si="146"/>
        <v>0</v>
      </c>
      <c r="AP220" s="32">
        <f t="shared" si="146"/>
        <v>0</v>
      </c>
      <c r="AQ220" s="32">
        <f t="shared" si="146"/>
        <v>0</v>
      </c>
      <c r="AR220" s="32">
        <f t="shared" si="146"/>
        <v>0</v>
      </c>
      <c r="AS220" s="32">
        <f t="shared" si="146"/>
        <v>0</v>
      </c>
      <c r="AT220" s="32">
        <f t="shared" si="146"/>
        <v>0</v>
      </c>
      <c r="AU220" s="32">
        <f t="shared" si="146"/>
        <v>0</v>
      </c>
      <c r="AV220" s="32">
        <f t="shared" si="146"/>
        <v>0</v>
      </c>
      <c r="AW220" s="32">
        <f t="shared" si="146"/>
        <v>0</v>
      </c>
      <c r="AX220" s="32">
        <f t="shared" si="146"/>
        <v>0</v>
      </c>
      <c r="AY220" s="32">
        <f t="shared" si="146"/>
        <v>0</v>
      </c>
      <c r="AZ220" s="32">
        <f t="shared" si="146"/>
        <v>0</v>
      </c>
      <c r="BA220" s="32">
        <f t="shared" si="146"/>
        <v>0</v>
      </c>
      <c r="BB220" s="32">
        <f t="shared" si="146"/>
        <v>0</v>
      </c>
      <c r="BC220" s="76">
        <f>IFERROR(SUM(AE219:AP219)/SUM(AE190:AP190),0)</f>
        <v>0</v>
      </c>
      <c r="BD220" s="76">
        <f>IFERROR(SUM(AQ219:BB219)/SUM(AQ190:BB190),0)</f>
        <v>0</v>
      </c>
      <c r="BE220" s="2"/>
      <c r="BF220" s="32">
        <f t="shared" ref="BF220:CC220" si="147">IFERROR(BF219/BF190,0)</f>
        <v>0</v>
      </c>
      <c r="BG220" s="32">
        <f t="shared" si="147"/>
        <v>0</v>
      </c>
      <c r="BH220" s="32">
        <f t="shared" si="147"/>
        <v>0</v>
      </c>
      <c r="BI220" s="32">
        <f t="shared" si="147"/>
        <v>0</v>
      </c>
      <c r="BJ220" s="32">
        <f t="shared" si="147"/>
        <v>0</v>
      </c>
      <c r="BK220" s="32">
        <f t="shared" si="147"/>
        <v>0</v>
      </c>
      <c r="BL220" s="32">
        <f t="shared" si="147"/>
        <v>0</v>
      </c>
      <c r="BM220" s="32">
        <f t="shared" si="147"/>
        <v>0</v>
      </c>
      <c r="BN220" s="32">
        <f t="shared" si="147"/>
        <v>0</v>
      </c>
      <c r="BO220" s="32">
        <f t="shared" si="147"/>
        <v>0</v>
      </c>
      <c r="BP220" s="32">
        <f t="shared" si="147"/>
        <v>0</v>
      </c>
      <c r="BQ220" s="32">
        <f t="shared" si="147"/>
        <v>0</v>
      </c>
      <c r="BR220" s="32">
        <f t="shared" si="147"/>
        <v>0</v>
      </c>
      <c r="BS220" s="32">
        <f t="shared" si="147"/>
        <v>0</v>
      </c>
      <c r="BT220" s="32">
        <f t="shared" si="147"/>
        <v>0</v>
      </c>
      <c r="BU220" s="32">
        <f t="shared" si="147"/>
        <v>0</v>
      </c>
      <c r="BV220" s="32">
        <f t="shared" si="147"/>
        <v>0</v>
      </c>
      <c r="BW220" s="32">
        <f t="shared" si="147"/>
        <v>0</v>
      </c>
      <c r="BX220" s="32">
        <f t="shared" si="147"/>
        <v>0</v>
      </c>
      <c r="BY220" s="32">
        <f t="shared" si="147"/>
        <v>0</v>
      </c>
      <c r="BZ220" s="32">
        <f t="shared" si="147"/>
        <v>0</v>
      </c>
      <c r="CA220" s="32">
        <f t="shared" si="147"/>
        <v>0</v>
      </c>
      <c r="CB220" s="32">
        <f t="shared" si="147"/>
        <v>0</v>
      </c>
      <c r="CC220" s="32">
        <f t="shared" si="147"/>
        <v>0</v>
      </c>
      <c r="CD220" s="76">
        <f>IFERROR(SUM(BF219:BQ219)/SUM(BF190:BQ190),0)</f>
        <v>0</v>
      </c>
      <c r="CE220" s="76">
        <f>IFERROR(SUM(BR219:CC219)/SUM(BR190:CC190),0)</f>
        <v>0</v>
      </c>
      <c r="CF220" s="2"/>
      <c r="CG220" s="32">
        <f t="shared" ref="CG220:DD220" si="148">IFERROR(CG219/CG190,0)</f>
        <v>0</v>
      </c>
      <c r="CH220" s="32">
        <f t="shared" si="148"/>
        <v>0</v>
      </c>
      <c r="CI220" s="32">
        <f t="shared" si="148"/>
        <v>0</v>
      </c>
      <c r="CJ220" s="32">
        <f t="shared" si="148"/>
        <v>0</v>
      </c>
      <c r="CK220" s="32">
        <f t="shared" si="148"/>
        <v>0</v>
      </c>
      <c r="CL220" s="32">
        <f t="shared" si="148"/>
        <v>0</v>
      </c>
      <c r="CM220" s="32">
        <f t="shared" si="148"/>
        <v>0</v>
      </c>
      <c r="CN220" s="32">
        <f t="shared" si="148"/>
        <v>0</v>
      </c>
      <c r="CO220" s="32">
        <f t="shared" si="148"/>
        <v>0</v>
      </c>
      <c r="CP220" s="32">
        <f t="shared" si="148"/>
        <v>0</v>
      </c>
      <c r="CQ220" s="32">
        <f t="shared" si="148"/>
        <v>0</v>
      </c>
      <c r="CR220" s="32">
        <f t="shared" si="148"/>
        <v>0</v>
      </c>
      <c r="CS220" s="32">
        <f t="shared" si="148"/>
        <v>0</v>
      </c>
      <c r="CT220" s="32">
        <f t="shared" si="148"/>
        <v>0</v>
      </c>
      <c r="CU220" s="32">
        <f t="shared" si="148"/>
        <v>0</v>
      </c>
      <c r="CV220" s="32">
        <f t="shared" si="148"/>
        <v>0</v>
      </c>
      <c r="CW220" s="32">
        <f t="shared" si="148"/>
        <v>0</v>
      </c>
      <c r="CX220" s="32">
        <f t="shared" si="148"/>
        <v>0</v>
      </c>
      <c r="CY220" s="32">
        <f t="shared" si="148"/>
        <v>0</v>
      </c>
      <c r="CZ220" s="32">
        <f t="shared" si="148"/>
        <v>0</v>
      </c>
      <c r="DA220" s="32">
        <f t="shared" si="148"/>
        <v>0</v>
      </c>
      <c r="DB220" s="32">
        <f t="shared" si="148"/>
        <v>0</v>
      </c>
      <c r="DC220" s="32">
        <f t="shared" si="148"/>
        <v>0</v>
      </c>
      <c r="DD220" s="32">
        <f t="shared" si="148"/>
        <v>0</v>
      </c>
      <c r="DE220" s="76">
        <f>IFERROR(SUM(CG219:CR219)/SUM(CG190:CR190),0)</f>
        <v>0</v>
      </c>
      <c r="DF220" s="76">
        <f>IFERROR(SUM(CS219:DD219)/SUM(CS190:DD190),0)</f>
        <v>0</v>
      </c>
      <c r="DG220"/>
      <c r="DH220"/>
    </row>
    <row r="221" spans="1:112" hidden="1" x14ac:dyDescent="0.2">
      <c r="A221" s="2"/>
      <c r="B221" s="35" t="s">
        <v>143</v>
      </c>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69">
        <f>inp_open_ar</f>
        <v>0</v>
      </c>
      <c r="AF221" s="69">
        <f t="shared" ref="AF221:BB221" si="149">AE222</f>
        <v>0</v>
      </c>
      <c r="AG221" s="69">
        <f t="shared" si="149"/>
        <v>0</v>
      </c>
      <c r="AH221" s="69">
        <f t="shared" si="149"/>
        <v>0</v>
      </c>
      <c r="AI221" s="69">
        <f t="shared" si="149"/>
        <v>0</v>
      </c>
      <c r="AJ221" s="69">
        <f t="shared" si="149"/>
        <v>0</v>
      </c>
      <c r="AK221" s="69">
        <f t="shared" si="149"/>
        <v>0</v>
      </c>
      <c r="AL221" s="69">
        <f t="shared" si="149"/>
        <v>0</v>
      </c>
      <c r="AM221" s="69">
        <f t="shared" si="149"/>
        <v>0</v>
      </c>
      <c r="AN221" s="69">
        <f t="shared" si="149"/>
        <v>0</v>
      </c>
      <c r="AO221" s="69">
        <f t="shared" si="149"/>
        <v>0</v>
      </c>
      <c r="AP221" s="69">
        <f t="shared" si="149"/>
        <v>0</v>
      </c>
      <c r="AQ221" s="69">
        <f t="shared" si="149"/>
        <v>0</v>
      </c>
      <c r="AR221" s="69">
        <f t="shared" si="149"/>
        <v>0</v>
      </c>
      <c r="AS221" s="69">
        <f t="shared" si="149"/>
        <v>0</v>
      </c>
      <c r="AT221" s="69">
        <f t="shared" si="149"/>
        <v>0</v>
      </c>
      <c r="AU221" s="69">
        <f t="shared" si="149"/>
        <v>0</v>
      </c>
      <c r="AV221" s="69">
        <f t="shared" si="149"/>
        <v>0</v>
      </c>
      <c r="AW221" s="69">
        <f t="shared" si="149"/>
        <v>0</v>
      </c>
      <c r="AX221" s="69">
        <f t="shared" si="149"/>
        <v>0</v>
      </c>
      <c r="AY221" s="69">
        <f t="shared" si="149"/>
        <v>0</v>
      </c>
      <c r="AZ221" s="69">
        <f t="shared" si="149"/>
        <v>0</v>
      </c>
      <c r="BA221" s="69">
        <f t="shared" si="149"/>
        <v>0</v>
      </c>
      <c r="BB221" s="69">
        <f t="shared" si="149"/>
        <v>0</v>
      </c>
      <c r="BC221" s="70">
        <f>AP221</f>
        <v>0</v>
      </c>
      <c r="BD221" s="70">
        <f>BB221</f>
        <v>0</v>
      </c>
      <c r="BE221" s="2"/>
      <c r="BF221" s="69">
        <f>inp_open_ar</f>
        <v>0</v>
      </c>
      <c r="BG221" s="69">
        <f t="shared" ref="BG221:CC221" si="150">BF222</f>
        <v>0</v>
      </c>
      <c r="BH221" s="69">
        <f t="shared" si="150"/>
        <v>0</v>
      </c>
      <c r="BI221" s="69">
        <f t="shared" si="150"/>
        <v>0</v>
      </c>
      <c r="BJ221" s="69">
        <f t="shared" si="150"/>
        <v>0</v>
      </c>
      <c r="BK221" s="69">
        <f t="shared" si="150"/>
        <v>0</v>
      </c>
      <c r="BL221" s="69">
        <f t="shared" si="150"/>
        <v>0</v>
      </c>
      <c r="BM221" s="69">
        <f t="shared" si="150"/>
        <v>0</v>
      </c>
      <c r="BN221" s="69">
        <f t="shared" si="150"/>
        <v>0</v>
      </c>
      <c r="BO221" s="69">
        <f t="shared" si="150"/>
        <v>0</v>
      </c>
      <c r="BP221" s="69">
        <f t="shared" si="150"/>
        <v>0</v>
      </c>
      <c r="BQ221" s="69">
        <f t="shared" si="150"/>
        <v>0</v>
      </c>
      <c r="BR221" s="69">
        <f t="shared" si="150"/>
        <v>0</v>
      </c>
      <c r="BS221" s="69">
        <f t="shared" si="150"/>
        <v>0</v>
      </c>
      <c r="BT221" s="69">
        <f t="shared" si="150"/>
        <v>0</v>
      </c>
      <c r="BU221" s="69">
        <f t="shared" si="150"/>
        <v>0</v>
      </c>
      <c r="BV221" s="69">
        <f t="shared" si="150"/>
        <v>0</v>
      </c>
      <c r="BW221" s="69">
        <f t="shared" si="150"/>
        <v>0</v>
      </c>
      <c r="BX221" s="69">
        <f t="shared" si="150"/>
        <v>0</v>
      </c>
      <c r="BY221" s="69">
        <f t="shared" si="150"/>
        <v>0</v>
      </c>
      <c r="BZ221" s="69">
        <f t="shared" si="150"/>
        <v>0</v>
      </c>
      <c r="CA221" s="69">
        <f t="shared" si="150"/>
        <v>0</v>
      </c>
      <c r="CB221" s="69">
        <f t="shared" si="150"/>
        <v>0</v>
      </c>
      <c r="CC221" s="69">
        <f t="shared" si="150"/>
        <v>0</v>
      </c>
      <c r="CD221" s="70">
        <f>BQ221</f>
        <v>0</v>
      </c>
      <c r="CE221" s="70">
        <f>CC221</f>
        <v>0</v>
      </c>
      <c r="CF221" s="2"/>
      <c r="CG221" s="69">
        <f>inp_open_ar</f>
        <v>0</v>
      </c>
      <c r="CH221" s="69">
        <f t="shared" ref="CH221:DD221" si="151">CG222</f>
        <v>0</v>
      </c>
      <c r="CI221" s="69">
        <f t="shared" si="151"/>
        <v>0</v>
      </c>
      <c r="CJ221" s="69">
        <f t="shared" si="151"/>
        <v>0</v>
      </c>
      <c r="CK221" s="69">
        <f t="shared" si="151"/>
        <v>0</v>
      </c>
      <c r="CL221" s="69">
        <f t="shared" si="151"/>
        <v>0</v>
      </c>
      <c r="CM221" s="69">
        <f t="shared" si="151"/>
        <v>0</v>
      </c>
      <c r="CN221" s="69">
        <f t="shared" si="151"/>
        <v>0</v>
      </c>
      <c r="CO221" s="69">
        <f t="shared" si="151"/>
        <v>0</v>
      </c>
      <c r="CP221" s="69">
        <f t="shared" si="151"/>
        <v>0</v>
      </c>
      <c r="CQ221" s="69">
        <f t="shared" si="151"/>
        <v>0</v>
      </c>
      <c r="CR221" s="69">
        <f t="shared" si="151"/>
        <v>0</v>
      </c>
      <c r="CS221" s="69">
        <f t="shared" si="151"/>
        <v>0</v>
      </c>
      <c r="CT221" s="69">
        <f t="shared" si="151"/>
        <v>0</v>
      </c>
      <c r="CU221" s="69">
        <f t="shared" si="151"/>
        <v>0</v>
      </c>
      <c r="CV221" s="69">
        <f t="shared" si="151"/>
        <v>0</v>
      </c>
      <c r="CW221" s="69">
        <f t="shared" si="151"/>
        <v>0</v>
      </c>
      <c r="CX221" s="69">
        <f t="shared" si="151"/>
        <v>0</v>
      </c>
      <c r="CY221" s="69">
        <f t="shared" si="151"/>
        <v>0</v>
      </c>
      <c r="CZ221" s="69">
        <f t="shared" si="151"/>
        <v>0</v>
      </c>
      <c r="DA221" s="69">
        <f t="shared" si="151"/>
        <v>0</v>
      </c>
      <c r="DB221" s="69">
        <f t="shared" si="151"/>
        <v>0</v>
      </c>
      <c r="DC221" s="69">
        <f t="shared" si="151"/>
        <v>0</v>
      </c>
      <c r="DD221" s="69">
        <f t="shared" si="151"/>
        <v>0</v>
      </c>
      <c r="DE221" s="70">
        <f>CR221</f>
        <v>0</v>
      </c>
      <c r="DF221" s="70">
        <f>DD221</f>
        <v>0</v>
      </c>
      <c r="DG221"/>
      <c r="DH221"/>
    </row>
    <row r="222" spans="1:112" hidden="1" x14ac:dyDescent="0.2">
      <c r="A222" s="2"/>
      <c r="B222" s="35" t="s">
        <v>144</v>
      </c>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69">
        <f t="shared" ref="AE222:BB222" si="152">AE190*(inp_ar_days+INDEX(ref_scn_ar_adj,1))/30</f>
        <v>0</v>
      </c>
      <c r="AF222" s="69">
        <f t="shared" si="152"/>
        <v>0</v>
      </c>
      <c r="AG222" s="69">
        <f t="shared" si="152"/>
        <v>0</v>
      </c>
      <c r="AH222" s="69">
        <f t="shared" si="152"/>
        <v>0</v>
      </c>
      <c r="AI222" s="69">
        <f t="shared" si="152"/>
        <v>0</v>
      </c>
      <c r="AJ222" s="69">
        <f t="shared" si="152"/>
        <v>0</v>
      </c>
      <c r="AK222" s="69">
        <f t="shared" si="152"/>
        <v>0</v>
      </c>
      <c r="AL222" s="69">
        <f t="shared" si="152"/>
        <v>0</v>
      </c>
      <c r="AM222" s="69">
        <f t="shared" si="152"/>
        <v>0</v>
      </c>
      <c r="AN222" s="69">
        <f t="shared" si="152"/>
        <v>0</v>
      </c>
      <c r="AO222" s="69">
        <f t="shared" si="152"/>
        <v>0</v>
      </c>
      <c r="AP222" s="69">
        <f t="shared" si="152"/>
        <v>0</v>
      </c>
      <c r="AQ222" s="69">
        <f t="shared" si="152"/>
        <v>0</v>
      </c>
      <c r="AR222" s="69">
        <f t="shared" si="152"/>
        <v>0</v>
      </c>
      <c r="AS222" s="69">
        <f t="shared" si="152"/>
        <v>0</v>
      </c>
      <c r="AT222" s="69">
        <f t="shared" si="152"/>
        <v>0</v>
      </c>
      <c r="AU222" s="69">
        <f t="shared" si="152"/>
        <v>0</v>
      </c>
      <c r="AV222" s="69">
        <f t="shared" si="152"/>
        <v>0</v>
      </c>
      <c r="AW222" s="69">
        <f t="shared" si="152"/>
        <v>0</v>
      </c>
      <c r="AX222" s="69">
        <f t="shared" si="152"/>
        <v>0</v>
      </c>
      <c r="AY222" s="69">
        <f t="shared" si="152"/>
        <v>0</v>
      </c>
      <c r="AZ222" s="69">
        <f t="shared" si="152"/>
        <v>0</v>
      </c>
      <c r="BA222" s="69">
        <f t="shared" si="152"/>
        <v>0</v>
      </c>
      <c r="BB222" s="69">
        <f t="shared" si="152"/>
        <v>0</v>
      </c>
      <c r="BC222" s="70">
        <f>AP222</f>
        <v>0</v>
      </c>
      <c r="BD222" s="70">
        <f>BB222</f>
        <v>0</v>
      </c>
      <c r="BE222" s="2"/>
      <c r="BF222" s="69">
        <f t="shared" ref="BF222:CC222" si="153">BF190*(inp_ar_days+INDEX(ref_scn_ar_adj,2))/30</f>
        <v>0</v>
      </c>
      <c r="BG222" s="69">
        <f t="shared" si="153"/>
        <v>0</v>
      </c>
      <c r="BH222" s="69">
        <f t="shared" si="153"/>
        <v>0</v>
      </c>
      <c r="BI222" s="69">
        <f t="shared" si="153"/>
        <v>0</v>
      </c>
      <c r="BJ222" s="69">
        <f t="shared" si="153"/>
        <v>0</v>
      </c>
      <c r="BK222" s="69">
        <f t="shared" si="153"/>
        <v>0</v>
      </c>
      <c r="BL222" s="69">
        <f t="shared" si="153"/>
        <v>0</v>
      </c>
      <c r="BM222" s="69">
        <f t="shared" si="153"/>
        <v>0</v>
      </c>
      <c r="BN222" s="69">
        <f t="shared" si="153"/>
        <v>0</v>
      </c>
      <c r="BO222" s="69">
        <f t="shared" si="153"/>
        <v>0</v>
      </c>
      <c r="BP222" s="69">
        <f t="shared" si="153"/>
        <v>0</v>
      </c>
      <c r="BQ222" s="69">
        <f t="shared" si="153"/>
        <v>0</v>
      </c>
      <c r="BR222" s="69">
        <f t="shared" si="153"/>
        <v>0</v>
      </c>
      <c r="BS222" s="69">
        <f t="shared" si="153"/>
        <v>0</v>
      </c>
      <c r="BT222" s="69">
        <f t="shared" si="153"/>
        <v>0</v>
      </c>
      <c r="BU222" s="69">
        <f t="shared" si="153"/>
        <v>0</v>
      </c>
      <c r="BV222" s="69">
        <f t="shared" si="153"/>
        <v>0</v>
      </c>
      <c r="BW222" s="69">
        <f t="shared" si="153"/>
        <v>0</v>
      </c>
      <c r="BX222" s="69">
        <f t="shared" si="153"/>
        <v>0</v>
      </c>
      <c r="BY222" s="69">
        <f t="shared" si="153"/>
        <v>0</v>
      </c>
      <c r="BZ222" s="69">
        <f t="shared" si="153"/>
        <v>0</v>
      </c>
      <c r="CA222" s="69">
        <f t="shared" si="153"/>
        <v>0</v>
      </c>
      <c r="CB222" s="69">
        <f t="shared" si="153"/>
        <v>0</v>
      </c>
      <c r="CC222" s="69">
        <f t="shared" si="153"/>
        <v>0</v>
      </c>
      <c r="CD222" s="70">
        <f>BQ222</f>
        <v>0</v>
      </c>
      <c r="CE222" s="70">
        <f>CC222</f>
        <v>0</v>
      </c>
      <c r="CF222" s="2"/>
      <c r="CG222" s="69">
        <f t="shared" ref="CG222:DD222" si="154">CG190*(inp_ar_days+INDEX(ref_scn_ar_adj,3))/30</f>
        <v>0</v>
      </c>
      <c r="CH222" s="69">
        <f t="shared" si="154"/>
        <v>0</v>
      </c>
      <c r="CI222" s="69">
        <f t="shared" si="154"/>
        <v>0</v>
      </c>
      <c r="CJ222" s="69">
        <f t="shared" si="154"/>
        <v>0</v>
      </c>
      <c r="CK222" s="69">
        <f t="shared" si="154"/>
        <v>0</v>
      </c>
      <c r="CL222" s="69">
        <f t="shared" si="154"/>
        <v>0</v>
      </c>
      <c r="CM222" s="69">
        <f t="shared" si="154"/>
        <v>0</v>
      </c>
      <c r="CN222" s="69">
        <f t="shared" si="154"/>
        <v>0</v>
      </c>
      <c r="CO222" s="69">
        <f t="shared" si="154"/>
        <v>0</v>
      </c>
      <c r="CP222" s="69">
        <f t="shared" si="154"/>
        <v>0</v>
      </c>
      <c r="CQ222" s="69">
        <f t="shared" si="154"/>
        <v>0</v>
      </c>
      <c r="CR222" s="69">
        <f t="shared" si="154"/>
        <v>0</v>
      </c>
      <c r="CS222" s="69">
        <f t="shared" si="154"/>
        <v>0</v>
      </c>
      <c r="CT222" s="69">
        <f t="shared" si="154"/>
        <v>0</v>
      </c>
      <c r="CU222" s="69">
        <f t="shared" si="154"/>
        <v>0</v>
      </c>
      <c r="CV222" s="69">
        <f t="shared" si="154"/>
        <v>0</v>
      </c>
      <c r="CW222" s="69">
        <f t="shared" si="154"/>
        <v>0</v>
      </c>
      <c r="CX222" s="69">
        <f t="shared" si="154"/>
        <v>0</v>
      </c>
      <c r="CY222" s="69">
        <f t="shared" si="154"/>
        <v>0</v>
      </c>
      <c r="CZ222" s="69">
        <f t="shared" si="154"/>
        <v>0</v>
      </c>
      <c r="DA222" s="69">
        <f t="shared" si="154"/>
        <v>0</v>
      </c>
      <c r="DB222" s="69">
        <f t="shared" si="154"/>
        <v>0</v>
      </c>
      <c r="DC222" s="69">
        <f t="shared" si="154"/>
        <v>0</v>
      </c>
      <c r="DD222" s="69">
        <f t="shared" si="154"/>
        <v>0</v>
      </c>
      <c r="DE222" s="70">
        <f>CR222</f>
        <v>0</v>
      </c>
      <c r="DF222" s="70">
        <f>DD222</f>
        <v>0</v>
      </c>
      <c r="DG222"/>
      <c r="DH222"/>
    </row>
    <row r="223" spans="1:112" hidden="1" x14ac:dyDescent="0.2">
      <c r="A223" s="2"/>
      <c r="B223" s="35" t="s">
        <v>145</v>
      </c>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69">
        <f t="shared" ref="AE223:BB223" si="155">AE222-AE221</f>
        <v>0</v>
      </c>
      <c r="AF223" s="69">
        <f t="shared" si="155"/>
        <v>0</v>
      </c>
      <c r="AG223" s="69">
        <f t="shared" si="155"/>
        <v>0</v>
      </c>
      <c r="AH223" s="69">
        <f t="shared" si="155"/>
        <v>0</v>
      </c>
      <c r="AI223" s="69">
        <f t="shared" si="155"/>
        <v>0</v>
      </c>
      <c r="AJ223" s="69">
        <f t="shared" si="155"/>
        <v>0</v>
      </c>
      <c r="AK223" s="69">
        <f t="shared" si="155"/>
        <v>0</v>
      </c>
      <c r="AL223" s="69">
        <f t="shared" si="155"/>
        <v>0</v>
      </c>
      <c r="AM223" s="69">
        <f t="shared" si="155"/>
        <v>0</v>
      </c>
      <c r="AN223" s="69">
        <f t="shared" si="155"/>
        <v>0</v>
      </c>
      <c r="AO223" s="69">
        <f t="shared" si="155"/>
        <v>0</v>
      </c>
      <c r="AP223" s="69">
        <f t="shared" si="155"/>
        <v>0</v>
      </c>
      <c r="AQ223" s="69">
        <f t="shared" si="155"/>
        <v>0</v>
      </c>
      <c r="AR223" s="69">
        <f t="shared" si="155"/>
        <v>0</v>
      </c>
      <c r="AS223" s="69">
        <f t="shared" si="155"/>
        <v>0</v>
      </c>
      <c r="AT223" s="69">
        <f t="shared" si="155"/>
        <v>0</v>
      </c>
      <c r="AU223" s="69">
        <f t="shared" si="155"/>
        <v>0</v>
      </c>
      <c r="AV223" s="69">
        <f t="shared" si="155"/>
        <v>0</v>
      </c>
      <c r="AW223" s="69">
        <f t="shared" si="155"/>
        <v>0</v>
      </c>
      <c r="AX223" s="69">
        <f t="shared" si="155"/>
        <v>0</v>
      </c>
      <c r="AY223" s="69">
        <f t="shared" si="155"/>
        <v>0</v>
      </c>
      <c r="AZ223" s="69">
        <f t="shared" si="155"/>
        <v>0</v>
      </c>
      <c r="BA223" s="69">
        <f t="shared" si="155"/>
        <v>0</v>
      </c>
      <c r="BB223" s="69">
        <f t="shared" si="155"/>
        <v>0</v>
      </c>
      <c r="BC223" s="70">
        <f>SUM(AE223:AP223)</f>
        <v>0</v>
      </c>
      <c r="BD223" s="70">
        <f>SUM(AQ223:BB223)</f>
        <v>0</v>
      </c>
      <c r="BE223" s="2"/>
      <c r="BF223" s="69">
        <f t="shared" ref="BF223:CC223" si="156">BF222-BF221</f>
        <v>0</v>
      </c>
      <c r="BG223" s="69">
        <f t="shared" si="156"/>
        <v>0</v>
      </c>
      <c r="BH223" s="69">
        <f t="shared" si="156"/>
        <v>0</v>
      </c>
      <c r="BI223" s="69">
        <f t="shared" si="156"/>
        <v>0</v>
      </c>
      <c r="BJ223" s="69">
        <f t="shared" si="156"/>
        <v>0</v>
      </c>
      <c r="BK223" s="69">
        <f t="shared" si="156"/>
        <v>0</v>
      </c>
      <c r="BL223" s="69">
        <f t="shared" si="156"/>
        <v>0</v>
      </c>
      <c r="BM223" s="69">
        <f t="shared" si="156"/>
        <v>0</v>
      </c>
      <c r="BN223" s="69">
        <f t="shared" si="156"/>
        <v>0</v>
      </c>
      <c r="BO223" s="69">
        <f t="shared" si="156"/>
        <v>0</v>
      </c>
      <c r="BP223" s="69">
        <f t="shared" si="156"/>
        <v>0</v>
      </c>
      <c r="BQ223" s="69">
        <f t="shared" si="156"/>
        <v>0</v>
      </c>
      <c r="BR223" s="69">
        <f t="shared" si="156"/>
        <v>0</v>
      </c>
      <c r="BS223" s="69">
        <f t="shared" si="156"/>
        <v>0</v>
      </c>
      <c r="BT223" s="69">
        <f t="shared" si="156"/>
        <v>0</v>
      </c>
      <c r="BU223" s="69">
        <f t="shared" si="156"/>
        <v>0</v>
      </c>
      <c r="BV223" s="69">
        <f t="shared" si="156"/>
        <v>0</v>
      </c>
      <c r="BW223" s="69">
        <f t="shared" si="156"/>
        <v>0</v>
      </c>
      <c r="BX223" s="69">
        <f t="shared" si="156"/>
        <v>0</v>
      </c>
      <c r="BY223" s="69">
        <f t="shared" si="156"/>
        <v>0</v>
      </c>
      <c r="BZ223" s="69">
        <f t="shared" si="156"/>
        <v>0</v>
      </c>
      <c r="CA223" s="69">
        <f t="shared" si="156"/>
        <v>0</v>
      </c>
      <c r="CB223" s="69">
        <f t="shared" si="156"/>
        <v>0</v>
      </c>
      <c r="CC223" s="69">
        <f t="shared" si="156"/>
        <v>0</v>
      </c>
      <c r="CD223" s="70">
        <f>SUM(BF223:BQ223)</f>
        <v>0</v>
      </c>
      <c r="CE223" s="70">
        <f>SUM(BR223:CC223)</f>
        <v>0</v>
      </c>
      <c r="CF223" s="2"/>
      <c r="CG223" s="69">
        <f t="shared" ref="CG223:DD223" si="157">CG222-CG221</f>
        <v>0</v>
      </c>
      <c r="CH223" s="69">
        <f t="shared" si="157"/>
        <v>0</v>
      </c>
      <c r="CI223" s="69">
        <f t="shared" si="157"/>
        <v>0</v>
      </c>
      <c r="CJ223" s="69">
        <f t="shared" si="157"/>
        <v>0</v>
      </c>
      <c r="CK223" s="69">
        <f t="shared" si="157"/>
        <v>0</v>
      </c>
      <c r="CL223" s="69">
        <f t="shared" si="157"/>
        <v>0</v>
      </c>
      <c r="CM223" s="69">
        <f t="shared" si="157"/>
        <v>0</v>
      </c>
      <c r="CN223" s="69">
        <f t="shared" si="157"/>
        <v>0</v>
      </c>
      <c r="CO223" s="69">
        <f t="shared" si="157"/>
        <v>0</v>
      </c>
      <c r="CP223" s="69">
        <f t="shared" si="157"/>
        <v>0</v>
      </c>
      <c r="CQ223" s="69">
        <f t="shared" si="157"/>
        <v>0</v>
      </c>
      <c r="CR223" s="69">
        <f t="shared" si="157"/>
        <v>0</v>
      </c>
      <c r="CS223" s="69">
        <f t="shared" si="157"/>
        <v>0</v>
      </c>
      <c r="CT223" s="69">
        <f t="shared" si="157"/>
        <v>0</v>
      </c>
      <c r="CU223" s="69">
        <f t="shared" si="157"/>
        <v>0</v>
      </c>
      <c r="CV223" s="69">
        <f t="shared" si="157"/>
        <v>0</v>
      </c>
      <c r="CW223" s="69">
        <f t="shared" si="157"/>
        <v>0</v>
      </c>
      <c r="CX223" s="69">
        <f t="shared" si="157"/>
        <v>0</v>
      </c>
      <c r="CY223" s="69">
        <f t="shared" si="157"/>
        <v>0</v>
      </c>
      <c r="CZ223" s="69">
        <f t="shared" si="157"/>
        <v>0</v>
      </c>
      <c r="DA223" s="69">
        <f t="shared" si="157"/>
        <v>0</v>
      </c>
      <c r="DB223" s="69">
        <f t="shared" si="157"/>
        <v>0</v>
      </c>
      <c r="DC223" s="69">
        <f t="shared" si="157"/>
        <v>0</v>
      </c>
      <c r="DD223" s="69">
        <f t="shared" si="157"/>
        <v>0</v>
      </c>
      <c r="DE223" s="70">
        <f>SUM(CG223:CR223)</f>
        <v>0</v>
      </c>
      <c r="DF223" s="70">
        <f>SUM(CS223:DD223)</f>
        <v>0</v>
      </c>
      <c r="DG223"/>
      <c r="DH223"/>
    </row>
    <row r="224" spans="1:112" hidden="1" x14ac:dyDescent="0.2">
      <c r="A224" s="2"/>
      <c r="B224" s="35" t="s">
        <v>146</v>
      </c>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69">
        <f>inp_open_ap</f>
        <v>0</v>
      </c>
      <c r="AF224" s="69">
        <f t="shared" ref="AF224:BB224" si="158">AE225</f>
        <v>0</v>
      </c>
      <c r="AG224" s="69">
        <f t="shared" si="158"/>
        <v>0</v>
      </c>
      <c r="AH224" s="69">
        <f t="shared" si="158"/>
        <v>0</v>
      </c>
      <c r="AI224" s="69">
        <f t="shared" si="158"/>
        <v>0</v>
      </c>
      <c r="AJ224" s="69">
        <f t="shared" si="158"/>
        <v>0</v>
      </c>
      <c r="AK224" s="69">
        <f t="shared" si="158"/>
        <v>0</v>
      </c>
      <c r="AL224" s="69">
        <f t="shared" si="158"/>
        <v>0</v>
      </c>
      <c r="AM224" s="69">
        <f t="shared" si="158"/>
        <v>0</v>
      </c>
      <c r="AN224" s="69">
        <f t="shared" si="158"/>
        <v>0</v>
      </c>
      <c r="AO224" s="69">
        <f t="shared" si="158"/>
        <v>0</v>
      </c>
      <c r="AP224" s="69">
        <f t="shared" si="158"/>
        <v>0</v>
      </c>
      <c r="AQ224" s="69">
        <f t="shared" si="158"/>
        <v>0</v>
      </c>
      <c r="AR224" s="69">
        <f t="shared" si="158"/>
        <v>0</v>
      </c>
      <c r="AS224" s="69">
        <f t="shared" si="158"/>
        <v>0</v>
      </c>
      <c r="AT224" s="69">
        <f t="shared" si="158"/>
        <v>0</v>
      </c>
      <c r="AU224" s="69">
        <f t="shared" si="158"/>
        <v>0</v>
      </c>
      <c r="AV224" s="69">
        <f t="shared" si="158"/>
        <v>0</v>
      </c>
      <c r="AW224" s="69">
        <f t="shared" si="158"/>
        <v>0</v>
      </c>
      <c r="AX224" s="69">
        <f t="shared" si="158"/>
        <v>0</v>
      </c>
      <c r="AY224" s="69">
        <f t="shared" si="158"/>
        <v>0</v>
      </c>
      <c r="AZ224" s="69">
        <f t="shared" si="158"/>
        <v>0</v>
      </c>
      <c r="BA224" s="69">
        <f t="shared" si="158"/>
        <v>0</v>
      </c>
      <c r="BB224" s="69">
        <f t="shared" si="158"/>
        <v>0</v>
      </c>
      <c r="BC224" s="70">
        <f>AP224</f>
        <v>0</v>
      </c>
      <c r="BD224" s="70">
        <f>BB224</f>
        <v>0</v>
      </c>
      <c r="BE224" s="2"/>
      <c r="BF224" s="69">
        <f>inp_open_ap</f>
        <v>0</v>
      </c>
      <c r="BG224" s="69">
        <f t="shared" ref="BG224:CC224" si="159">BF225</f>
        <v>0</v>
      </c>
      <c r="BH224" s="69">
        <f t="shared" si="159"/>
        <v>0</v>
      </c>
      <c r="BI224" s="69">
        <f t="shared" si="159"/>
        <v>0</v>
      </c>
      <c r="BJ224" s="69">
        <f t="shared" si="159"/>
        <v>0</v>
      </c>
      <c r="BK224" s="69">
        <f t="shared" si="159"/>
        <v>0</v>
      </c>
      <c r="BL224" s="69">
        <f t="shared" si="159"/>
        <v>0</v>
      </c>
      <c r="BM224" s="69">
        <f t="shared" si="159"/>
        <v>0</v>
      </c>
      <c r="BN224" s="69">
        <f t="shared" si="159"/>
        <v>0</v>
      </c>
      <c r="BO224" s="69">
        <f t="shared" si="159"/>
        <v>0</v>
      </c>
      <c r="BP224" s="69">
        <f t="shared" si="159"/>
        <v>0</v>
      </c>
      <c r="BQ224" s="69">
        <f t="shared" si="159"/>
        <v>0</v>
      </c>
      <c r="BR224" s="69">
        <f t="shared" si="159"/>
        <v>0</v>
      </c>
      <c r="BS224" s="69">
        <f t="shared" si="159"/>
        <v>0</v>
      </c>
      <c r="BT224" s="69">
        <f t="shared" si="159"/>
        <v>0</v>
      </c>
      <c r="BU224" s="69">
        <f t="shared" si="159"/>
        <v>0</v>
      </c>
      <c r="BV224" s="69">
        <f t="shared" si="159"/>
        <v>0</v>
      </c>
      <c r="BW224" s="69">
        <f t="shared" si="159"/>
        <v>0</v>
      </c>
      <c r="BX224" s="69">
        <f t="shared" si="159"/>
        <v>0</v>
      </c>
      <c r="BY224" s="69">
        <f t="shared" si="159"/>
        <v>0</v>
      </c>
      <c r="BZ224" s="69">
        <f t="shared" si="159"/>
        <v>0</v>
      </c>
      <c r="CA224" s="69">
        <f t="shared" si="159"/>
        <v>0</v>
      </c>
      <c r="CB224" s="69">
        <f t="shared" si="159"/>
        <v>0</v>
      </c>
      <c r="CC224" s="69">
        <f t="shared" si="159"/>
        <v>0</v>
      </c>
      <c r="CD224" s="70">
        <f>BQ224</f>
        <v>0</v>
      </c>
      <c r="CE224" s="70">
        <f>CC224</f>
        <v>0</v>
      </c>
      <c r="CF224" s="2"/>
      <c r="CG224" s="69">
        <f>inp_open_ap</f>
        <v>0</v>
      </c>
      <c r="CH224" s="69">
        <f t="shared" ref="CH224:DD224" si="160">CG225</f>
        <v>0</v>
      </c>
      <c r="CI224" s="69">
        <f t="shared" si="160"/>
        <v>0</v>
      </c>
      <c r="CJ224" s="69">
        <f t="shared" si="160"/>
        <v>0</v>
      </c>
      <c r="CK224" s="69">
        <f t="shared" si="160"/>
        <v>0</v>
      </c>
      <c r="CL224" s="69">
        <f t="shared" si="160"/>
        <v>0</v>
      </c>
      <c r="CM224" s="69">
        <f t="shared" si="160"/>
        <v>0</v>
      </c>
      <c r="CN224" s="69">
        <f t="shared" si="160"/>
        <v>0</v>
      </c>
      <c r="CO224" s="69">
        <f t="shared" si="160"/>
        <v>0</v>
      </c>
      <c r="CP224" s="69">
        <f t="shared" si="160"/>
        <v>0</v>
      </c>
      <c r="CQ224" s="69">
        <f t="shared" si="160"/>
        <v>0</v>
      </c>
      <c r="CR224" s="69">
        <f t="shared" si="160"/>
        <v>0</v>
      </c>
      <c r="CS224" s="69">
        <f t="shared" si="160"/>
        <v>0</v>
      </c>
      <c r="CT224" s="69">
        <f t="shared" si="160"/>
        <v>0</v>
      </c>
      <c r="CU224" s="69">
        <f t="shared" si="160"/>
        <v>0</v>
      </c>
      <c r="CV224" s="69">
        <f t="shared" si="160"/>
        <v>0</v>
      </c>
      <c r="CW224" s="69">
        <f t="shared" si="160"/>
        <v>0</v>
      </c>
      <c r="CX224" s="69">
        <f t="shared" si="160"/>
        <v>0</v>
      </c>
      <c r="CY224" s="69">
        <f t="shared" si="160"/>
        <v>0</v>
      </c>
      <c r="CZ224" s="69">
        <f t="shared" si="160"/>
        <v>0</v>
      </c>
      <c r="DA224" s="69">
        <f t="shared" si="160"/>
        <v>0</v>
      </c>
      <c r="DB224" s="69">
        <f t="shared" si="160"/>
        <v>0</v>
      </c>
      <c r="DC224" s="69">
        <f t="shared" si="160"/>
        <v>0</v>
      </c>
      <c r="DD224" s="69">
        <f t="shared" si="160"/>
        <v>0</v>
      </c>
      <c r="DE224" s="70">
        <f>CR224</f>
        <v>0</v>
      </c>
      <c r="DF224" s="70">
        <f>DD224</f>
        <v>0</v>
      </c>
      <c r="DG224"/>
      <c r="DH224"/>
    </row>
    <row r="225" spans="1:112" hidden="1" x14ac:dyDescent="0.2">
      <c r="A225" s="2"/>
      <c r="B225" s="35" t="s">
        <v>147</v>
      </c>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69">
        <f t="shared" ref="AE225:BB225" si="161">AE200*(inp_ap_days+_xlfn.SINGLE(INDEX(ref_scn_ap_adj,1)))/30</f>
        <v>0</v>
      </c>
      <c r="AF225" s="69">
        <f t="shared" si="161"/>
        <v>0</v>
      </c>
      <c r="AG225" s="69">
        <f t="shared" si="161"/>
        <v>0</v>
      </c>
      <c r="AH225" s="69">
        <f t="shared" si="161"/>
        <v>0</v>
      </c>
      <c r="AI225" s="69">
        <f t="shared" si="161"/>
        <v>0</v>
      </c>
      <c r="AJ225" s="69">
        <f t="shared" si="161"/>
        <v>0</v>
      </c>
      <c r="AK225" s="69">
        <f t="shared" si="161"/>
        <v>0</v>
      </c>
      <c r="AL225" s="69">
        <f t="shared" si="161"/>
        <v>0</v>
      </c>
      <c r="AM225" s="69">
        <f t="shared" si="161"/>
        <v>0</v>
      </c>
      <c r="AN225" s="69">
        <f t="shared" si="161"/>
        <v>0</v>
      </c>
      <c r="AO225" s="69">
        <f t="shared" si="161"/>
        <v>0</v>
      </c>
      <c r="AP225" s="69">
        <f t="shared" si="161"/>
        <v>0</v>
      </c>
      <c r="AQ225" s="69">
        <f t="shared" si="161"/>
        <v>0</v>
      </c>
      <c r="AR225" s="69">
        <f t="shared" si="161"/>
        <v>0</v>
      </c>
      <c r="AS225" s="69">
        <f t="shared" si="161"/>
        <v>0</v>
      </c>
      <c r="AT225" s="69">
        <f t="shared" si="161"/>
        <v>0</v>
      </c>
      <c r="AU225" s="69">
        <f t="shared" si="161"/>
        <v>0</v>
      </c>
      <c r="AV225" s="69">
        <f t="shared" si="161"/>
        <v>0</v>
      </c>
      <c r="AW225" s="69">
        <f t="shared" si="161"/>
        <v>0</v>
      </c>
      <c r="AX225" s="69">
        <f t="shared" si="161"/>
        <v>0</v>
      </c>
      <c r="AY225" s="69">
        <f t="shared" si="161"/>
        <v>0</v>
      </c>
      <c r="AZ225" s="69">
        <f t="shared" si="161"/>
        <v>0</v>
      </c>
      <c r="BA225" s="69">
        <f t="shared" si="161"/>
        <v>0</v>
      </c>
      <c r="BB225" s="69">
        <f t="shared" si="161"/>
        <v>0</v>
      </c>
      <c r="BC225" s="70">
        <f>AP225</f>
        <v>0</v>
      </c>
      <c r="BD225" s="70">
        <f>BB225</f>
        <v>0</v>
      </c>
      <c r="BE225" s="2"/>
      <c r="BF225" s="69">
        <f t="shared" ref="BF225:CC225" si="162">BF200*(inp_ap_days+_xlfn.SINGLE(INDEX(ref_scn_ap_adj,2)))/30</f>
        <v>0</v>
      </c>
      <c r="BG225" s="69">
        <f t="shared" si="162"/>
        <v>0</v>
      </c>
      <c r="BH225" s="69">
        <f t="shared" si="162"/>
        <v>0</v>
      </c>
      <c r="BI225" s="69">
        <f t="shared" si="162"/>
        <v>0</v>
      </c>
      <c r="BJ225" s="69">
        <f t="shared" si="162"/>
        <v>0</v>
      </c>
      <c r="BK225" s="69">
        <f t="shared" si="162"/>
        <v>0</v>
      </c>
      <c r="BL225" s="69">
        <f t="shared" si="162"/>
        <v>0</v>
      </c>
      <c r="BM225" s="69">
        <f t="shared" si="162"/>
        <v>0</v>
      </c>
      <c r="BN225" s="69">
        <f t="shared" si="162"/>
        <v>0</v>
      </c>
      <c r="BO225" s="69">
        <f t="shared" si="162"/>
        <v>0</v>
      </c>
      <c r="BP225" s="69">
        <f t="shared" si="162"/>
        <v>0</v>
      </c>
      <c r="BQ225" s="69">
        <f t="shared" si="162"/>
        <v>0</v>
      </c>
      <c r="BR225" s="69">
        <f t="shared" si="162"/>
        <v>0</v>
      </c>
      <c r="BS225" s="69">
        <f t="shared" si="162"/>
        <v>0</v>
      </c>
      <c r="BT225" s="69">
        <f t="shared" si="162"/>
        <v>0</v>
      </c>
      <c r="BU225" s="69">
        <f t="shared" si="162"/>
        <v>0</v>
      </c>
      <c r="BV225" s="69">
        <f t="shared" si="162"/>
        <v>0</v>
      </c>
      <c r="BW225" s="69">
        <f t="shared" si="162"/>
        <v>0</v>
      </c>
      <c r="BX225" s="69">
        <f t="shared" si="162"/>
        <v>0</v>
      </c>
      <c r="BY225" s="69">
        <f t="shared" si="162"/>
        <v>0</v>
      </c>
      <c r="BZ225" s="69">
        <f t="shared" si="162"/>
        <v>0</v>
      </c>
      <c r="CA225" s="69">
        <f t="shared" si="162"/>
        <v>0</v>
      </c>
      <c r="CB225" s="69">
        <f t="shared" si="162"/>
        <v>0</v>
      </c>
      <c r="CC225" s="69">
        <f t="shared" si="162"/>
        <v>0</v>
      </c>
      <c r="CD225" s="70">
        <f>BQ225</f>
        <v>0</v>
      </c>
      <c r="CE225" s="70">
        <f>CC225</f>
        <v>0</v>
      </c>
      <c r="CF225" s="2"/>
      <c r="CG225" s="69">
        <f t="shared" ref="CG225:DD225" si="163">CG200*(inp_ap_days+_xlfn.SINGLE(INDEX(ref_scn_ap_adj,3)))/30</f>
        <v>0</v>
      </c>
      <c r="CH225" s="69">
        <f t="shared" si="163"/>
        <v>0</v>
      </c>
      <c r="CI225" s="69">
        <f t="shared" si="163"/>
        <v>0</v>
      </c>
      <c r="CJ225" s="69">
        <f t="shared" si="163"/>
        <v>0</v>
      </c>
      <c r="CK225" s="69">
        <f t="shared" si="163"/>
        <v>0</v>
      </c>
      <c r="CL225" s="69">
        <f t="shared" si="163"/>
        <v>0</v>
      </c>
      <c r="CM225" s="69">
        <f t="shared" si="163"/>
        <v>0</v>
      </c>
      <c r="CN225" s="69">
        <f t="shared" si="163"/>
        <v>0</v>
      </c>
      <c r="CO225" s="69">
        <f t="shared" si="163"/>
        <v>0</v>
      </c>
      <c r="CP225" s="69">
        <f t="shared" si="163"/>
        <v>0</v>
      </c>
      <c r="CQ225" s="69">
        <f t="shared" si="163"/>
        <v>0</v>
      </c>
      <c r="CR225" s="69">
        <f t="shared" si="163"/>
        <v>0</v>
      </c>
      <c r="CS225" s="69">
        <f t="shared" si="163"/>
        <v>0</v>
      </c>
      <c r="CT225" s="69">
        <f t="shared" si="163"/>
        <v>0</v>
      </c>
      <c r="CU225" s="69">
        <f t="shared" si="163"/>
        <v>0</v>
      </c>
      <c r="CV225" s="69">
        <f t="shared" si="163"/>
        <v>0</v>
      </c>
      <c r="CW225" s="69">
        <f t="shared" si="163"/>
        <v>0</v>
      </c>
      <c r="CX225" s="69">
        <f t="shared" si="163"/>
        <v>0</v>
      </c>
      <c r="CY225" s="69">
        <f t="shared" si="163"/>
        <v>0</v>
      </c>
      <c r="CZ225" s="69">
        <f t="shared" si="163"/>
        <v>0</v>
      </c>
      <c r="DA225" s="69">
        <f t="shared" si="163"/>
        <v>0</v>
      </c>
      <c r="DB225" s="69">
        <f t="shared" si="163"/>
        <v>0</v>
      </c>
      <c r="DC225" s="69">
        <f t="shared" si="163"/>
        <v>0</v>
      </c>
      <c r="DD225" s="69">
        <f t="shared" si="163"/>
        <v>0</v>
      </c>
      <c r="DE225" s="70">
        <f>CR225</f>
        <v>0</v>
      </c>
      <c r="DF225" s="70">
        <f>DD225</f>
        <v>0</v>
      </c>
      <c r="DG225"/>
      <c r="DH225"/>
    </row>
    <row r="226" spans="1:112" hidden="1" x14ac:dyDescent="0.2">
      <c r="A226" s="2"/>
      <c r="B226" s="35" t="s">
        <v>148</v>
      </c>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69">
        <f t="shared" ref="AE226:BB226" si="164">AE225-AE224</f>
        <v>0</v>
      </c>
      <c r="AF226" s="69">
        <f t="shared" si="164"/>
        <v>0</v>
      </c>
      <c r="AG226" s="69">
        <f t="shared" si="164"/>
        <v>0</v>
      </c>
      <c r="AH226" s="69">
        <f t="shared" si="164"/>
        <v>0</v>
      </c>
      <c r="AI226" s="69">
        <f t="shared" si="164"/>
        <v>0</v>
      </c>
      <c r="AJ226" s="69">
        <f t="shared" si="164"/>
        <v>0</v>
      </c>
      <c r="AK226" s="69">
        <f t="shared" si="164"/>
        <v>0</v>
      </c>
      <c r="AL226" s="69">
        <f t="shared" si="164"/>
        <v>0</v>
      </c>
      <c r="AM226" s="69">
        <f t="shared" si="164"/>
        <v>0</v>
      </c>
      <c r="AN226" s="69">
        <f t="shared" si="164"/>
        <v>0</v>
      </c>
      <c r="AO226" s="69">
        <f t="shared" si="164"/>
        <v>0</v>
      </c>
      <c r="AP226" s="69">
        <f t="shared" si="164"/>
        <v>0</v>
      </c>
      <c r="AQ226" s="69">
        <f t="shared" si="164"/>
        <v>0</v>
      </c>
      <c r="AR226" s="69">
        <f t="shared" si="164"/>
        <v>0</v>
      </c>
      <c r="AS226" s="69">
        <f t="shared" si="164"/>
        <v>0</v>
      </c>
      <c r="AT226" s="69">
        <f t="shared" si="164"/>
        <v>0</v>
      </c>
      <c r="AU226" s="69">
        <f t="shared" si="164"/>
        <v>0</v>
      </c>
      <c r="AV226" s="69">
        <f t="shared" si="164"/>
        <v>0</v>
      </c>
      <c r="AW226" s="69">
        <f t="shared" si="164"/>
        <v>0</v>
      </c>
      <c r="AX226" s="69">
        <f t="shared" si="164"/>
        <v>0</v>
      </c>
      <c r="AY226" s="69">
        <f t="shared" si="164"/>
        <v>0</v>
      </c>
      <c r="AZ226" s="69">
        <f t="shared" si="164"/>
        <v>0</v>
      </c>
      <c r="BA226" s="69">
        <f t="shared" si="164"/>
        <v>0</v>
      </c>
      <c r="BB226" s="69">
        <f t="shared" si="164"/>
        <v>0</v>
      </c>
      <c r="BC226" s="70">
        <f>SUM(AE226:AP226)</f>
        <v>0</v>
      </c>
      <c r="BD226" s="70">
        <f>SUM(AQ226:BB226)</f>
        <v>0</v>
      </c>
      <c r="BE226" s="2"/>
      <c r="BF226" s="69">
        <f t="shared" ref="BF226:CC226" si="165">BF225-BF224</f>
        <v>0</v>
      </c>
      <c r="BG226" s="69">
        <f t="shared" si="165"/>
        <v>0</v>
      </c>
      <c r="BH226" s="69">
        <f t="shared" si="165"/>
        <v>0</v>
      </c>
      <c r="BI226" s="69">
        <f t="shared" si="165"/>
        <v>0</v>
      </c>
      <c r="BJ226" s="69">
        <f t="shared" si="165"/>
        <v>0</v>
      </c>
      <c r="BK226" s="69">
        <f t="shared" si="165"/>
        <v>0</v>
      </c>
      <c r="BL226" s="69">
        <f t="shared" si="165"/>
        <v>0</v>
      </c>
      <c r="BM226" s="69">
        <f t="shared" si="165"/>
        <v>0</v>
      </c>
      <c r="BN226" s="69">
        <f t="shared" si="165"/>
        <v>0</v>
      </c>
      <c r="BO226" s="69">
        <f t="shared" si="165"/>
        <v>0</v>
      </c>
      <c r="BP226" s="69">
        <f t="shared" si="165"/>
        <v>0</v>
      </c>
      <c r="BQ226" s="69">
        <f t="shared" si="165"/>
        <v>0</v>
      </c>
      <c r="BR226" s="69">
        <f t="shared" si="165"/>
        <v>0</v>
      </c>
      <c r="BS226" s="69">
        <f t="shared" si="165"/>
        <v>0</v>
      </c>
      <c r="BT226" s="69">
        <f t="shared" si="165"/>
        <v>0</v>
      </c>
      <c r="BU226" s="69">
        <f t="shared" si="165"/>
        <v>0</v>
      </c>
      <c r="BV226" s="69">
        <f t="shared" si="165"/>
        <v>0</v>
      </c>
      <c r="BW226" s="69">
        <f t="shared" si="165"/>
        <v>0</v>
      </c>
      <c r="BX226" s="69">
        <f t="shared" si="165"/>
        <v>0</v>
      </c>
      <c r="BY226" s="69">
        <f t="shared" si="165"/>
        <v>0</v>
      </c>
      <c r="BZ226" s="69">
        <f t="shared" si="165"/>
        <v>0</v>
      </c>
      <c r="CA226" s="69">
        <f t="shared" si="165"/>
        <v>0</v>
      </c>
      <c r="CB226" s="69">
        <f t="shared" si="165"/>
        <v>0</v>
      </c>
      <c r="CC226" s="69">
        <f t="shared" si="165"/>
        <v>0</v>
      </c>
      <c r="CD226" s="70">
        <f>SUM(BF226:BQ226)</f>
        <v>0</v>
      </c>
      <c r="CE226" s="70">
        <f>SUM(BR226:CC226)</f>
        <v>0</v>
      </c>
      <c r="CF226" s="2"/>
      <c r="CG226" s="69">
        <f t="shared" ref="CG226:DD226" si="166">CG225-CG224</f>
        <v>0</v>
      </c>
      <c r="CH226" s="69">
        <f t="shared" si="166"/>
        <v>0</v>
      </c>
      <c r="CI226" s="69">
        <f t="shared" si="166"/>
        <v>0</v>
      </c>
      <c r="CJ226" s="69">
        <f t="shared" si="166"/>
        <v>0</v>
      </c>
      <c r="CK226" s="69">
        <f t="shared" si="166"/>
        <v>0</v>
      </c>
      <c r="CL226" s="69">
        <f t="shared" si="166"/>
        <v>0</v>
      </c>
      <c r="CM226" s="69">
        <f t="shared" si="166"/>
        <v>0</v>
      </c>
      <c r="CN226" s="69">
        <f t="shared" si="166"/>
        <v>0</v>
      </c>
      <c r="CO226" s="69">
        <f t="shared" si="166"/>
        <v>0</v>
      </c>
      <c r="CP226" s="69">
        <f t="shared" si="166"/>
        <v>0</v>
      </c>
      <c r="CQ226" s="69">
        <f t="shared" si="166"/>
        <v>0</v>
      </c>
      <c r="CR226" s="69">
        <f t="shared" si="166"/>
        <v>0</v>
      </c>
      <c r="CS226" s="69">
        <f t="shared" si="166"/>
        <v>0</v>
      </c>
      <c r="CT226" s="69">
        <f t="shared" si="166"/>
        <v>0</v>
      </c>
      <c r="CU226" s="69">
        <f t="shared" si="166"/>
        <v>0</v>
      </c>
      <c r="CV226" s="69">
        <f t="shared" si="166"/>
        <v>0</v>
      </c>
      <c r="CW226" s="69">
        <f t="shared" si="166"/>
        <v>0</v>
      </c>
      <c r="CX226" s="69">
        <f t="shared" si="166"/>
        <v>0</v>
      </c>
      <c r="CY226" s="69">
        <f t="shared" si="166"/>
        <v>0</v>
      </c>
      <c r="CZ226" s="69">
        <f t="shared" si="166"/>
        <v>0</v>
      </c>
      <c r="DA226" s="69">
        <f t="shared" si="166"/>
        <v>0</v>
      </c>
      <c r="DB226" s="69">
        <f t="shared" si="166"/>
        <v>0</v>
      </c>
      <c r="DC226" s="69">
        <f t="shared" si="166"/>
        <v>0</v>
      </c>
      <c r="DD226" s="69">
        <f t="shared" si="166"/>
        <v>0</v>
      </c>
      <c r="DE226" s="70">
        <f>SUM(CG226:CR226)</f>
        <v>0</v>
      </c>
      <c r="DF226" s="70">
        <f>SUM(CS226:DD226)</f>
        <v>0</v>
      </c>
      <c r="DG226"/>
      <c r="DH226"/>
    </row>
    <row r="227" spans="1:112" hidden="1" x14ac:dyDescent="0.2">
      <c r="A227" s="2"/>
      <c r="B227" s="35" t="s">
        <v>149</v>
      </c>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69">
        <f>inp_open_oca</f>
        <v>0</v>
      </c>
      <c r="AF227" s="69">
        <f t="shared" ref="AF227:BB227" si="167">AE228</f>
        <v>0</v>
      </c>
      <c r="AG227" s="69">
        <f t="shared" si="167"/>
        <v>0</v>
      </c>
      <c r="AH227" s="69">
        <f t="shared" si="167"/>
        <v>0</v>
      </c>
      <c r="AI227" s="69">
        <f t="shared" si="167"/>
        <v>0</v>
      </c>
      <c r="AJ227" s="69">
        <f t="shared" si="167"/>
        <v>0</v>
      </c>
      <c r="AK227" s="69">
        <f t="shared" si="167"/>
        <v>0</v>
      </c>
      <c r="AL227" s="69">
        <f t="shared" si="167"/>
        <v>0</v>
      </c>
      <c r="AM227" s="69">
        <f t="shared" si="167"/>
        <v>0</v>
      </c>
      <c r="AN227" s="69">
        <f t="shared" si="167"/>
        <v>0</v>
      </c>
      <c r="AO227" s="69">
        <f t="shared" si="167"/>
        <v>0</v>
      </c>
      <c r="AP227" s="69">
        <f t="shared" si="167"/>
        <v>0</v>
      </c>
      <c r="AQ227" s="69">
        <f t="shared" si="167"/>
        <v>0</v>
      </c>
      <c r="AR227" s="69">
        <f t="shared" si="167"/>
        <v>0</v>
      </c>
      <c r="AS227" s="69">
        <f t="shared" si="167"/>
        <v>0</v>
      </c>
      <c r="AT227" s="69">
        <f t="shared" si="167"/>
        <v>0</v>
      </c>
      <c r="AU227" s="69">
        <f t="shared" si="167"/>
        <v>0</v>
      </c>
      <c r="AV227" s="69">
        <f t="shared" si="167"/>
        <v>0</v>
      </c>
      <c r="AW227" s="69">
        <f t="shared" si="167"/>
        <v>0</v>
      </c>
      <c r="AX227" s="69">
        <f t="shared" si="167"/>
        <v>0</v>
      </c>
      <c r="AY227" s="69">
        <f t="shared" si="167"/>
        <v>0</v>
      </c>
      <c r="AZ227" s="69">
        <f t="shared" si="167"/>
        <v>0</v>
      </c>
      <c r="BA227" s="69">
        <f t="shared" si="167"/>
        <v>0</v>
      </c>
      <c r="BB227" s="69">
        <f t="shared" si="167"/>
        <v>0</v>
      </c>
      <c r="BC227" s="70">
        <f>AP227</f>
        <v>0</v>
      </c>
      <c r="BD227" s="70">
        <f>BB227</f>
        <v>0</v>
      </c>
      <c r="BE227" s="2"/>
      <c r="BF227" s="69">
        <f>inp_open_oca</f>
        <v>0</v>
      </c>
      <c r="BG227" s="69">
        <f t="shared" ref="BG227:CC227" si="168">BF228</f>
        <v>0</v>
      </c>
      <c r="BH227" s="69">
        <f t="shared" si="168"/>
        <v>0</v>
      </c>
      <c r="BI227" s="69">
        <f t="shared" si="168"/>
        <v>0</v>
      </c>
      <c r="BJ227" s="69">
        <f t="shared" si="168"/>
        <v>0</v>
      </c>
      <c r="BK227" s="69">
        <f t="shared" si="168"/>
        <v>0</v>
      </c>
      <c r="BL227" s="69">
        <f t="shared" si="168"/>
        <v>0</v>
      </c>
      <c r="BM227" s="69">
        <f t="shared" si="168"/>
        <v>0</v>
      </c>
      <c r="BN227" s="69">
        <f t="shared" si="168"/>
        <v>0</v>
      </c>
      <c r="BO227" s="69">
        <f t="shared" si="168"/>
        <v>0</v>
      </c>
      <c r="BP227" s="69">
        <f t="shared" si="168"/>
        <v>0</v>
      </c>
      <c r="BQ227" s="69">
        <f t="shared" si="168"/>
        <v>0</v>
      </c>
      <c r="BR227" s="69">
        <f t="shared" si="168"/>
        <v>0</v>
      </c>
      <c r="BS227" s="69">
        <f t="shared" si="168"/>
        <v>0</v>
      </c>
      <c r="BT227" s="69">
        <f t="shared" si="168"/>
        <v>0</v>
      </c>
      <c r="BU227" s="69">
        <f t="shared" si="168"/>
        <v>0</v>
      </c>
      <c r="BV227" s="69">
        <f t="shared" si="168"/>
        <v>0</v>
      </c>
      <c r="BW227" s="69">
        <f t="shared" si="168"/>
        <v>0</v>
      </c>
      <c r="BX227" s="69">
        <f t="shared" si="168"/>
        <v>0</v>
      </c>
      <c r="BY227" s="69">
        <f t="shared" si="168"/>
        <v>0</v>
      </c>
      <c r="BZ227" s="69">
        <f t="shared" si="168"/>
        <v>0</v>
      </c>
      <c r="CA227" s="69">
        <f t="shared" si="168"/>
        <v>0</v>
      </c>
      <c r="CB227" s="69">
        <f t="shared" si="168"/>
        <v>0</v>
      </c>
      <c r="CC227" s="69">
        <f t="shared" si="168"/>
        <v>0</v>
      </c>
      <c r="CD227" s="70">
        <f>BQ227</f>
        <v>0</v>
      </c>
      <c r="CE227" s="70">
        <f>CC227</f>
        <v>0</v>
      </c>
      <c r="CF227" s="2"/>
      <c r="CG227" s="69">
        <f>inp_open_oca</f>
        <v>0</v>
      </c>
      <c r="CH227" s="69">
        <f t="shared" ref="CH227:DD227" si="169">CG228</f>
        <v>0</v>
      </c>
      <c r="CI227" s="69">
        <f t="shared" si="169"/>
        <v>0</v>
      </c>
      <c r="CJ227" s="69">
        <f t="shared" si="169"/>
        <v>0</v>
      </c>
      <c r="CK227" s="69">
        <f t="shared" si="169"/>
        <v>0</v>
      </c>
      <c r="CL227" s="69">
        <f t="shared" si="169"/>
        <v>0</v>
      </c>
      <c r="CM227" s="69">
        <f t="shared" si="169"/>
        <v>0</v>
      </c>
      <c r="CN227" s="69">
        <f t="shared" si="169"/>
        <v>0</v>
      </c>
      <c r="CO227" s="69">
        <f t="shared" si="169"/>
        <v>0</v>
      </c>
      <c r="CP227" s="69">
        <f t="shared" si="169"/>
        <v>0</v>
      </c>
      <c r="CQ227" s="69">
        <f t="shared" si="169"/>
        <v>0</v>
      </c>
      <c r="CR227" s="69">
        <f t="shared" si="169"/>
        <v>0</v>
      </c>
      <c r="CS227" s="69">
        <f t="shared" si="169"/>
        <v>0</v>
      </c>
      <c r="CT227" s="69">
        <f t="shared" si="169"/>
        <v>0</v>
      </c>
      <c r="CU227" s="69">
        <f t="shared" si="169"/>
        <v>0</v>
      </c>
      <c r="CV227" s="69">
        <f t="shared" si="169"/>
        <v>0</v>
      </c>
      <c r="CW227" s="69">
        <f t="shared" si="169"/>
        <v>0</v>
      </c>
      <c r="CX227" s="69">
        <f t="shared" si="169"/>
        <v>0</v>
      </c>
      <c r="CY227" s="69">
        <f t="shared" si="169"/>
        <v>0</v>
      </c>
      <c r="CZ227" s="69">
        <f t="shared" si="169"/>
        <v>0</v>
      </c>
      <c r="DA227" s="69">
        <f t="shared" si="169"/>
        <v>0</v>
      </c>
      <c r="DB227" s="69">
        <f t="shared" si="169"/>
        <v>0</v>
      </c>
      <c r="DC227" s="69">
        <f t="shared" si="169"/>
        <v>0</v>
      </c>
      <c r="DD227" s="69">
        <f t="shared" si="169"/>
        <v>0</v>
      </c>
      <c r="DE227" s="70">
        <f>CR227</f>
        <v>0</v>
      </c>
      <c r="DF227" s="70">
        <f>DD227</f>
        <v>0</v>
      </c>
      <c r="DG227"/>
      <c r="DH227"/>
    </row>
    <row r="228" spans="1:112" hidden="1" x14ac:dyDescent="0.2">
      <c r="A228" s="2"/>
      <c r="B228" s="35" t="s">
        <v>150</v>
      </c>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69">
        <f t="shared" ref="AE228:BB228" si="170">inp_other_ca</f>
        <v>0</v>
      </c>
      <c r="AF228" s="69">
        <f t="shared" si="170"/>
        <v>0</v>
      </c>
      <c r="AG228" s="69">
        <f t="shared" si="170"/>
        <v>0</v>
      </c>
      <c r="AH228" s="69">
        <f t="shared" si="170"/>
        <v>0</v>
      </c>
      <c r="AI228" s="69">
        <f t="shared" si="170"/>
        <v>0</v>
      </c>
      <c r="AJ228" s="69">
        <f t="shared" si="170"/>
        <v>0</v>
      </c>
      <c r="AK228" s="69">
        <f t="shared" si="170"/>
        <v>0</v>
      </c>
      <c r="AL228" s="69">
        <f t="shared" si="170"/>
        <v>0</v>
      </c>
      <c r="AM228" s="69">
        <f t="shared" si="170"/>
        <v>0</v>
      </c>
      <c r="AN228" s="69">
        <f t="shared" si="170"/>
        <v>0</v>
      </c>
      <c r="AO228" s="69">
        <f t="shared" si="170"/>
        <v>0</v>
      </c>
      <c r="AP228" s="69">
        <f t="shared" si="170"/>
        <v>0</v>
      </c>
      <c r="AQ228" s="69">
        <f t="shared" si="170"/>
        <v>0</v>
      </c>
      <c r="AR228" s="69">
        <f t="shared" si="170"/>
        <v>0</v>
      </c>
      <c r="AS228" s="69">
        <f t="shared" si="170"/>
        <v>0</v>
      </c>
      <c r="AT228" s="69">
        <f t="shared" si="170"/>
        <v>0</v>
      </c>
      <c r="AU228" s="69">
        <f t="shared" si="170"/>
        <v>0</v>
      </c>
      <c r="AV228" s="69">
        <f t="shared" si="170"/>
        <v>0</v>
      </c>
      <c r="AW228" s="69">
        <f t="shared" si="170"/>
        <v>0</v>
      </c>
      <c r="AX228" s="69">
        <f t="shared" si="170"/>
        <v>0</v>
      </c>
      <c r="AY228" s="69">
        <f t="shared" si="170"/>
        <v>0</v>
      </c>
      <c r="AZ228" s="69">
        <f t="shared" si="170"/>
        <v>0</v>
      </c>
      <c r="BA228" s="69">
        <f t="shared" si="170"/>
        <v>0</v>
      </c>
      <c r="BB228" s="69">
        <f t="shared" si="170"/>
        <v>0</v>
      </c>
      <c r="BC228" s="70">
        <f>AP228</f>
        <v>0</v>
      </c>
      <c r="BD228" s="70">
        <f>BB228</f>
        <v>0</v>
      </c>
      <c r="BE228" s="2"/>
      <c r="BF228" s="69">
        <f t="shared" ref="BF228:CC228" si="171">inp_other_ca</f>
        <v>0</v>
      </c>
      <c r="BG228" s="69">
        <f t="shared" si="171"/>
        <v>0</v>
      </c>
      <c r="BH228" s="69">
        <f t="shared" si="171"/>
        <v>0</v>
      </c>
      <c r="BI228" s="69">
        <f t="shared" si="171"/>
        <v>0</v>
      </c>
      <c r="BJ228" s="69">
        <f t="shared" si="171"/>
        <v>0</v>
      </c>
      <c r="BK228" s="69">
        <f t="shared" si="171"/>
        <v>0</v>
      </c>
      <c r="BL228" s="69">
        <f t="shared" si="171"/>
        <v>0</v>
      </c>
      <c r="BM228" s="69">
        <f t="shared" si="171"/>
        <v>0</v>
      </c>
      <c r="BN228" s="69">
        <f t="shared" si="171"/>
        <v>0</v>
      </c>
      <c r="BO228" s="69">
        <f t="shared" si="171"/>
        <v>0</v>
      </c>
      <c r="BP228" s="69">
        <f t="shared" si="171"/>
        <v>0</v>
      </c>
      <c r="BQ228" s="69">
        <f t="shared" si="171"/>
        <v>0</v>
      </c>
      <c r="BR228" s="69">
        <f t="shared" si="171"/>
        <v>0</v>
      </c>
      <c r="BS228" s="69">
        <f t="shared" si="171"/>
        <v>0</v>
      </c>
      <c r="BT228" s="69">
        <f t="shared" si="171"/>
        <v>0</v>
      </c>
      <c r="BU228" s="69">
        <f t="shared" si="171"/>
        <v>0</v>
      </c>
      <c r="BV228" s="69">
        <f t="shared" si="171"/>
        <v>0</v>
      </c>
      <c r="BW228" s="69">
        <f t="shared" si="171"/>
        <v>0</v>
      </c>
      <c r="BX228" s="69">
        <f t="shared" si="171"/>
        <v>0</v>
      </c>
      <c r="BY228" s="69">
        <f t="shared" si="171"/>
        <v>0</v>
      </c>
      <c r="BZ228" s="69">
        <f t="shared" si="171"/>
        <v>0</v>
      </c>
      <c r="CA228" s="69">
        <f t="shared" si="171"/>
        <v>0</v>
      </c>
      <c r="CB228" s="69">
        <f t="shared" si="171"/>
        <v>0</v>
      </c>
      <c r="CC228" s="69">
        <f t="shared" si="171"/>
        <v>0</v>
      </c>
      <c r="CD228" s="70">
        <f>BQ228</f>
        <v>0</v>
      </c>
      <c r="CE228" s="70">
        <f>CC228</f>
        <v>0</v>
      </c>
      <c r="CF228" s="2"/>
      <c r="CG228" s="69">
        <f t="shared" ref="CG228:DD228" si="172">inp_other_ca</f>
        <v>0</v>
      </c>
      <c r="CH228" s="69">
        <f t="shared" si="172"/>
        <v>0</v>
      </c>
      <c r="CI228" s="69">
        <f t="shared" si="172"/>
        <v>0</v>
      </c>
      <c r="CJ228" s="69">
        <f t="shared" si="172"/>
        <v>0</v>
      </c>
      <c r="CK228" s="69">
        <f t="shared" si="172"/>
        <v>0</v>
      </c>
      <c r="CL228" s="69">
        <f t="shared" si="172"/>
        <v>0</v>
      </c>
      <c r="CM228" s="69">
        <f t="shared" si="172"/>
        <v>0</v>
      </c>
      <c r="CN228" s="69">
        <f t="shared" si="172"/>
        <v>0</v>
      </c>
      <c r="CO228" s="69">
        <f t="shared" si="172"/>
        <v>0</v>
      </c>
      <c r="CP228" s="69">
        <f t="shared" si="172"/>
        <v>0</v>
      </c>
      <c r="CQ228" s="69">
        <f t="shared" si="172"/>
        <v>0</v>
      </c>
      <c r="CR228" s="69">
        <f t="shared" si="172"/>
        <v>0</v>
      </c>
      <c r="CS228" s="69">
        <f t="shared" si="172"/>
        <v>0</v>
      </c>
      <c r="CT228" s="69">
        <f t="shared" si="172"/>
        <v>0</v>
      </c>
      <c r="CU228" s="69">
        <f t="shared" si="172"/>
        <v>0</v>
      </c>
      <c r="CV228" s="69">
        <f t="shared" si="172"/>
        <v>0</v>
      </c>
      <c r="CW228" s="69">
        <f t="shared" si="172"/>
        <v>0</v>
      </c>
      <c r="CX228" s="69">
        <f t="shared" si="172"/>
        <v>0</v>
      </c>
      <c r="CY228" s="69">
        <f t="shared" si="172"/>
        <v>0</v>
      </c>
      <c r="CZ228" s="69">
        <f t="shared" si="172"/>
        <v>0</v>
      </c>
      <c r="DA228" s="69">
        <f t="shared" si="172"/>
        <v>0</v>
      </c>
      <c r="DB228" s="69">
        <f t="shared" si="172"/>
        <v>0</v>
      </c>
      <c r="DC228" s="69">
        <f t="shared" si="172"/>
        <v>0</v>
      </c>
      <c r="DD228" s="69">
        <f t="shared" si="172"/>
        <v>0</v>
      </c>
      <c r="DE228" s="70">
        <f>CR228</f>
        <v>0</v>
      </c>
      <c r="DF228" s="70">
        <f>DD228</f>
        <v>0</v>
      </c>
      <c r="DG228"/>
      <c r="DH228"/>
    </row>
    <row r="229" spans="1:112" hidden="1" x14ac:dyDescent="0.2">
      <c r="A229" s="2"/>
      <c r="B229" s="35" t="s">
        <v>151</v>
      </c>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69">
        <f t="shared" ref="AE229:BB229" si="173">AE228-AE227</f>
        <v>0</v>
      </c>
      <c r="AF229" s="69">
        <f t="shared" si="173"/>
        <v>0</v>
      </c>
      <c r="AG229" s="69">
        <f t="shared" si="173"/>
        <v>0</v>
      </c>
      <c r="AH229" s="69">
        <f t="shared" si="173"/>
        <v>0</v>
      </c>
      <c r="AI229" s="69">
        <f t="shared" si="173"/>
        <v>0</v>
      </c>
      <c r="AJ229" s="69">
        <f t="shared" si="173"/>
        <v>0</v>
      </c>
      <c r="AK229" s="69">
        <f t="shared" si="173"/>
        <v>0</v>
      </c>
      <c r="AL229" s="69">
        <f t="shared" si="173"/>
        <v>0</v>
      </c>
      <c r="AM229" s="69">
        <f t="shared" si="173"/>
        <v>0</v>
      </c>
      <c r="AN229" s="69">
        <f t="shared" si="173"/>
        <v>0</v>
      </c>
      <c r="AO229" s="69">
        <f t="shared" si="173"/>
        <v>0</v>
      </c>
      <c r="AP229" s="69">
        <f t="shared" si="173"/>
        <v>0</v>
      </c>
      <c r="AQ229" s="69">
        <f t="shared" si="173"/>
        <v>0</v>
      </c>
      <c r="AR229" s="69">
        <f t="shared" si="173"/>
        <v>0</v>
      </c>
      <c r="AS229" s="69">
        <f t="shared" si="173"/>
        <v>0</v>
      </c>
      <c r="AT229" s="69">
        <f t="shared" si="173"/>
        <v>0</v>
      </c>
      <c r="AU229" s="69">
        <f t="shared" si="173"/>
        <v>0</v>
      </c>
      <c r="AV229" s="69">
        <f t="shared" si="173"/>
        <v>0</v>
      </c>
      <c r="AW229" s="69">
        <f t="shared" si="173"/>
        <v>0</v>
      </c>
      <c r="AX229" s="69">
        <f t="shared" si="173"/>
        <v>0</v>
      </c>
      <c r="AY229" s="69">
        <f t="shared" si="173"/>
        <v>0</v>
      </c>
      <c r="AZ229" s="69">
        <f t="shared" si="173"/>
        <v>0</v>
      </c>
      <c r="BA229" s="69">
        <f t="shared" si="173"/>
        <v>0</v>
      </c>
      <c r="BB229" s="69">
        <f t="shared" si="173"/>
        <v>0</v>
      </c>
      <c r="BC229" s="70">
        <f>SUM(AE229:AP229)</f>
        <v>0</v>
      </c>
      <c r="BD229" s="70">
        <f>SUM(AQ229:BB229)</f>
        <v>0</v>
      </c>
      <c r="BE229" s="2"/>
      <c r="BF229" s="69">
        <f t="shared" ref="BF229:CC229" si="174">BF228-BF227</f>
        <v>0</v>
      </c>
      <c r="BG229" s="69">
        <f t="shared" si="174"/>
        <v>0</v>
      </c>
      <c r="BH229" s="69">
        <f t="shared" si="174"/>
        <v>0</v>
      </c>
      <c r="BI229" s="69">
        <f t="shared" si="174"/>
        <v>0</v>
      </c>
      <c r="BJ229" s="69">
        <f t="shared" si="174"/>
        <v>0</v>
      </c>
      <c r="BK229" s="69">
        <f t="shared" si="174"/>
        <v>0</v>
      </c>
      <c r="BL229" s="69">
        <f t="shared" si="174"/>
        <v>0</v>
      </c>
      <c r="BM229" s="69">
        <f t="shared" si="174"/>
        <v>0</v>
      </c>
      <c r="BN229" s="69">
        <f t="shared" si="174"/>
        <v>0</v>
      </c>
      <c r="BO229" s="69">
        <f t="shared" si="174"/>
        <v>0</v>
      </c>
      <c r="BP229" s="69">
        <f t="shared" si="174"/>
        <v>0</v>
      </c>
      <c r="BQ229" s="69">
        <f t="shared" si="174"/>
        <v>0</v>
      </c>
      <c r="BR229" s="69">
        <f t="shared" si="174"/>
        <v>0</v>
      </c>
      <c r="BS229" s="69">
        <f t="shared" si="174"/>
        <v>0</v>
      </c>
      <c r="BT229" s="69">
        <f t="shared" si="174"/>
        <v>0</v>
      </c>
      <c r="BU229" s="69">
        <f t="shared" si="174"/>
        <v>0</v>
      </c>
      <c r="BV229" s="69">
        <f t="shared" si="174"/>
        <v>0</v>
      </c>
      <c r="BW229" s="69">
        <f t="shared" si="174"/>
        <v>0</v>
      </c>
      <c r="BX229" s="69">
        <f t="shared" si="174"/>
        <v>0</v>
      </c>
      <c r="BY229" s="69">
        <f t="shared" si="174"/>
        <v>0</v>
      </c>
      <c r="BZ229" s="69">
        <f t="shared" si="174"/>
        <v>0</v>
      </c>
      <c r="CA229" s="69">
        <f t="shared" si="174"/>
        <v>0</v>
      </c>
      <c r="CB229" s="69">
        <f t="shared" si="174"/>
        <v>0</v>
      </c>
      <c r="CC229" s="69">
        <f t="shared" si="174"/>
        <v>0</v>
      </c>
      <c r="CD229" s="70">
        <f>SUM(BF229:BQ229)</f>
        <v>0</v>
      </c>
      <c r="CE229" s="70">
        <f>SUM(BR229:CC229)</f>
        <v>0</v>
      </c>
      <c r="CF229" s="2"/>
      <c r="CG229" s="69">
        <f t="shared" ref="CG229:DD229" si="175">CG228-CG227</f>
        <v>0</v>
      </c>
      <c r="CH229" s="69">
        <f t="shared" si="175"/>
        <v>0</v>
      </c>
      <c r="CI229" s="69">
        <f t="shared" si="175"/>
        <v>0</v>
      </c>
      <c r="CJ229" s="69">
        <f t="shared" si="175"/>
        <v>0</v>
      </c>
      <c r="CK229" s="69">
        <f t="shared" si="175"/>
        <v>0</v>
      </c>
      <c r="CL229" s="69">
        <f t="shared" si="175"/>
        <v>0</v>
      </c>
      <c r="CM229" s="69">
        <f t="shared" si="175"/>
        <v>0</v>
      </c>
      <c r="CN229" s="69">
        <f t="shared" si="175"/>
        <v>0</v>
      </c>
      <c r="CO229" s="69">
        <f t="shared" si="175"/>
        <v>0</v>
      </c>
      <c r="CP229" s="69">
        <f t="shared" si="175"/>
        <v>0</v>
      </c>
      <c r="CQ229" s="69">
        <f t="shared" si="175"/>
        <v>0</v>
      </c>
      <c r="CR229" s="69">
        <f t="shared" si="175"/>
        <v>0</v>
      </c>
      <c r="CS229" s="69">
        <f t="shared" si="175"/>
        <v>0</v>
      </c>
      <c r="CT229" s="69">
        <f t="shared" si="175"/>
        <v>0</v>
      </c>
      <c r="CU229" s="69">
        <f t="shared" si="175"/>
        <v>0</v>
      </c>
      <c r="CV229" s="69">
        <f t="shared" si="175"/>
        <v>0</v>
      </c>
      <c r="CW229" s="69">
        <f t="shared" si="175"/>
        <v>0</v>
      </c>
      <c r="CX229" s="69">
        <f t="shared" si="175"/>
        <v>0</v>
      </c>
      <c r="CY229" s="69">
        <f t="shared" si="175"/>
        <v>0</v>
      </c>
      <c r="CZ229" s="69">
        <f t="shared" si="175"/>
        <v>0</v>
      </c>
      <c r="DA229" s="69">
        <f t="shared" si="175"/>
        <v>0</v>
      </c>
      <c r="DB229" s="69">
        <f t="shared" si="175"/>
        <v>0</v>
      </c>
      <c r="DC229" s="69">
        <f t="shared" si="175"/>
        <v>0</v>
      </c>
      <c r="DD229" s="69">
        <f t="shared" si="175"/>
        <v>0</v>
      </c>
      <c r="DE229" s="70">
        <f>SUM(CG229:CR229)</f>
        <v>0</v>
      </c>
      <c r="DF229" s="70">
        <f>SUM(CS229:DD229)</f>
        <v>0</v>
      </c>
      <c r="DG229"/>
      <c r="DH229"/>
    </row>
    <row r="230" spans="1:112" hidden="1" x14ac:dyDescent="0.2">
      <c r="A230" s="2"/>
      <c r="B230" s="35" t="s">
        <v>152</v>
      </c>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69">
        <f>inp_open_ocl</f>
        <v>0</v>
      </c>
      <c r="AF230" s="69">
        <f t="shared" ref="AF230:BB230" si="176">AE231</f>
        <v>0</v>
      </c>
      <c r="AG230" s="69">
        <f t="shared" si="176"/>
        <v>0</v>
      </c>
      <c r="AH230" s="69">
        <f t="shared" si="176"/>
        <v>0</v>
      </c>
      <c r="AI230" s="69">
        <f t="shared" si="176"/>
        <v>0</v>
      </c>
      <c r="AJ230" s="69">
        <f t="shared" si="176"/>
        <v>0</v>
      </c>
      <c r="AK230" s="69">
        <f t="shared" si="176"/>
        <v>0</v>
      </c>
      <c r="AL230" s="69">
        <f t="shared" si="176"/>
        <v>0</v>
      </c>
      <c r="AM230" s="69">
        <f t="shared" si="176"/>
        <v>0</v>
      </c>
      <c r="AN230" s="69">
        <f t="shared" si="176"/>
        <v>0</v>
      </c>
      <c r="AO230" s="69">
        <f t="shared" si="176"/>
        <v>0</v>
      </c>
      <c r="AP230" s="69">
        <f t="shared" si="176"/>
        <v>0</v>
      </c>
      <c r="AQ230" s="69">
        <f t="shared" si="176"/>
        <v>0</v>
      </c>
      <c r="AR230" s="69">
        <f t="shared" si="176"/>
        <v>0</v>
      </c>
      <c r="AS230" s="69">
        <f t="shared" si="176"/>
        <v>0</v>
      </c>
      <c r="AT230" s="69">
        <f t="shared" si="176"/>
        <v>0</v>
      </c>
      <c r="AU230" s="69">
        <f t="shared" si="176"/>
        <v>0</v>
      </c>
      <c r="AV230" s="69">
        <f t="shared" si="176"/>
        <v>0</v>
      </c>
      <c r="AW230" s="69">
        <f t="shared" si="176"/>
        <v>0</v>
      </c>
      <c r="AX230" s="69">
        <f t="shared" si="176"/>
        <v>0</v>
      </c>
      <c r="AY230" s="69">
        <f t="shared" si="176"/>
        <v>0</v>
      </c>
      <c r="AZ230" s="69">
        <f t="shared" si="176"/>
        <v>0</v>
      </c>
      <c r="BA230" s="69">
        <f t="shared" si="176"/>
        <v>0</v>
      </c>
      <c r="BB230" s="69">
        <f t="shared" si="176"/>
        <v>0</v>
      </c>
      <c r="BC230" s="70">
        <f>AP230</f>
        <v>0</v>
      </c>
      <c r="BD230" s="70">
        <f>BB230</f>
        <v>0</v>
      </c>
      <c r="BE230" s="2"/>
      <c r="BF230" s="69">
        <f>inp_open_ocl</f>
        <v>0</v>
      </c>
      <c r="BG230" s="69">
        <f t="shared" ref="BG230:CC230" si="177">BF231</f>
        <v>0</v>
      </c>
      <c r="BH230" s="69">
        <f t="shared" si="177"/>
        <v>0</v>
      </c>
      <c r="BI230" s="69">
        <f t="shared" si="177"/>
        <v>0</v>
      </c>
      <c r="BJ230" s="69">
        <f t="shared" si="177"/>
        <v>0</v>
      </c>
      <c r="BK230" s="69">
        <f t="shared" si="177"/>
        <v>0</v>
      </c>
      <c r="BL230" s="69">
        <f t="shared" si="177"/>
        <v>0</v>
      </c>
      <c r="BM230" s="69">
        <f t="shared" si="177"/>
        <v>0</v>
      </c>
      <c r="BN230" s="69">
        <f t="shared" si="177"/>
        <v>0</v>
      </c>
      <c r="BO230" s="69">
        <f t="shared" si="177"/>
        <v>0</v>
      </c>
      <c r="BP230" s="69">
        <f t="shared" si="177"/>
        <v>0</v>
      </c>
      <c r="BQ230" s="69">
        <f t="shared" si="177"/>
        <v>0</v>
      </c>
      <c r="BR230" s="69">
        <f t="shared" si="177"/>
        <v>0</v>
      </c>
      <c r="BS230" s="69">
        <f t="shared" si="177"/>
        <v>0</v>
      </c>
      <c r="BT230" s="69">
        <f t="shared" si="177"/>
        <v>0</v>
      </c>
      <c r="BU230" s="69">
        <f t="shared" si="177"/>
        <v>0</v>
      </c>
      <c r="BV230" s="69">
        <f t="shared" si="177"/>
        <v>0</v>
      </c>
      <c r="BW230" s="69">
        <f t="shared" si="177"/>
        <v>0</v>
      </c>
      <c r="BX230" s="69">
        <f t="shared" si="177"/>
        <v>0</v>
      </c>
      <c r="BY230" s="69">
        <f t="shared" si="177"/>
        <v>0</v>
      </c>
      <c r="BZ230" s="69">
        <f t="shared" si="177"/>
        <v>0</v>
      </c>
      <c r="CA230" s="69">
        <f t="shared" si="177"/>
        <v>0</v>
      </c>
      <c r="CB230" s="69">
        <f t="shared" si="177"/>
        <v>0</v>
      </c>
      <c r="CC230" s="69">
        <f t="shared" si="177"/>
        <v>0</v>
      </c>
      <c r="CD230" s="70">
        <f>BQ230</f>
        <v>0</v>
      </c>
      <c r="CE230" s="70">
        <f>CC230</f>
        <v>0</v>
      </c>
      <c r="CF230" s="2"/>
      <c r="CG230" s="69">
        <f>inp_open_ocl</f>
        <v>0</v>
      </c>
      <c r="CH230" s="69">
        <f t="shared" ref="CH230:DD230" si="178">CG231</f>
        <v>0</v>
      </c>
      <c r="CI230" s="69">
        <f t="shared" si="178"/>
        <v>0</v>
      </c>
      <c r="CJ230" s="69">
        <f t="shared" si="178"/>
        <v>0</v>
      </c>
      <c r="CK230" s="69">
        <f t="shared" si="178"/>
        <v>0</v>
      </c>
      <c r="CL230" s="69">
        <f t="shared" si="178"/>
        <v>0</v>
      </c>
      <c r="CM230" s="69">
        <f t="shared" si="178"/>
        <v>0</v>
      </c>
      <c r="CN230" s="69">
        <f t="shared" si="178"/>
        <v>0</v>
      </c>
      <c r="CO230" s="69">
        <f t="shared" si="178"/>
        <v>0</v>
      </c>
      <c r="CP230" s="69">
        <f t="shared" si="178"/>
        <v>0</v>
      </c>
      <c r="CQ230" s="69">
        <f t="shared" si="178"/>
        <v>0</v>
      </c>
      <c r="CR230" s="69">
        <f t="shared" si="178"/>
        <v>0</v>
      </c>
      <c r="CS230" s="69">
        <f t="shared" si="178"/>
        <v>0</v>
      </c>
      <c r="CT230" s="69">
        <f t="shared" si="178"/>
        <v>0</v>
      </c>
      <c r="CU230" s="69">
        <f t="shared" si="178"/>
        <v>0</v>
      </c>
      <c r="CV230" s="69">
        <f t="shared" si="178"/>
        <v>0</v>
      </c>
      <c r="CW230" s="69">
        <f t="shared" si="178"/>
        <v>0</v>
      </c>
      <c r="CX230" s="69">
        <f t="shared" si="178"/>
        <v>0</v>
      </c>
      <c r="CY230" s="69">
        <f t="shared" si="178"/>
        <v>0</v>
      </c>
      <c r="CZ230" s="69">
        <f t="shared" si="178"/>
        <v>0</v>
      </c>
      <c r="DA230" s="69">
        <f t="shared" si="178"/>
        <v>0</v>
      </c>
      <c r="DB230" s="69">
        <f t="shared" si="178"/>
        <v>0</v>
      </c>
      <c r="DC230" s="69">
        <f t="shared" si="178"/>
        <v>0</v>
      </c>
      <c r="DD230" s="69">
        <f t="shared" si="178"/>
        <v>0</v>
      </c>
      <c r="DE230" s="70">
        <f>CR230</f>
        <v>0</v>
      </c>
      <c r="DF230" s="70">
        <f>DD230</f>
        <v>0</v>
      </c>
      <c r="DG230"/>
      <c r="DH230"/>
    </row>
    <row r="231" spans="1:112" hidden="1" x14ac:dyDescent="0.2">
      <c r="A231" s="2"/>
      <c r="B231" s="35" t="s">
        <v>153</v>
      </c>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69">
        <f t="shared" ref="AE231:BB231" si="179">inp_other_cl</f>
        <v>0</v>
      </c>
      <c r="AF231" s="69">
        <f t="shared" si="179"/>
        <v>0</v>
      </c>
      <c r="AG231" s="69">
        <f t="shared" si="179"/>
        <v>0</v>
      </c>
      <c r="AH231" s="69">
        <f t="shared" si="179"/>
        <v>0</v>
      </c>
      <c r="AI231" s="69">
        <f t="shared" si="179"/>
        <v>0</v>
      </c>
      <c r="AJ231" s="69">
        <f t="shared" si="179"/>
        <v>0</v>
      </c>
      <c r="AK231" s="69">
        <f t="shared" si="179"/>
        <v>0</v>
      </c>
      <c r="AL231" s="69">
        <f t="shared" si="179"/>
        <v>0</v>
      </c>
      <c r="AM231" s="69">
        <f t="shared" si="179"/>
        <v>0</v>
      </c>
      <c r="AN231" s="69">
        <f t="shared" si="179"/>
        <v>0</v>
      </c>
      <c r="AO231" s="69">
        <f t="shared" si="179"/>
        <v>0</v>
      </c>
      <c r="AP231" s="69">
        <f t="shared" si="179"/>
        <v>0</v>
      </c>
      <c r="AQ231" s="69">
        <f t="shared" si="179"/>
        <v>0</v>
      </c>
      <c r="AR231" s="69">
        <f t="shared" si="179"/>
        <v>0</v>
      </c>
      <c r="AS231" s="69">
        <f t="shared" si="179"/>
        <v>0</v>
      </c>
      <c r="AT231" s="69">
        <f t="shared" si="179"/>
        <v>0</v>
      </c>
      <c r="AU231" s="69">
        <f t="shared" si="179"/>
        <v>0</v>
      </c>
      <c r="AV231" s="69">
        <f t="shared" si="179"/>
        <v>0</v>
      </c>
      <c r="AW231" s="69">
        <f t="shared" si="179"/>
        <v>0</v>
      </c>
      <c r="AX231" s="69">
        <f t="shared" si="179"/>
        <v>0</v>
      </c>
      <c r="AY231" s="69">
        <f t="shared" si="179"/>
        <v>0</v>
      </c>
      <c r="AZ231" s="69">
        <f t="shared" si="179"/>
        <v>0</v>
      </c>
      <c r="BA231" s="69">
        <f t="shared" si="179"/>
        <v>0</v>
      </c>
      <c r="BB231" s="69">
        <f t="shared" si="179"/>
        <v>0</v>
      </c>
      <c r="BC231" s="70">
        <f>AP231</f>
        <v>0</v>
      </c>
      <c r="BD231" s="70">
        <f>BB231</f>
        <v>0</v>
      </c>
      <c r="BE231" s="2"/>
      <c r="BF231" s="69">
        <f t="shared" ref="BF231:CC231" si="180">inp_other_cl</f>
        <v>0</v>
      </c>
      <c r="BG231" s="69">
        <f t="shared" si="180"/>
        <v>0</v>
      </c>
      <c r="BH231" s="69">
        <f t="shared" si="180"/>
        <v>0</v>
      </c>
      <c r="BI231" s="69">
        <f t="shared" si="180"/>
        <v>0</v>
      </c>
      <c r="BJ231" s="69">
        <f t="shared" si="180"/>
        <v>0</v>
      </c>
      <c r="BK231" s="69">
        <f t="shared" si="180"/>
        <v>0</v>
      </c>
      <c r="BL231" s="69">
        <f t="shared" si="180"/>
        <v>0</v>
      </c>
      <c r="BM231" s="69">
        <f t="shared" si="180"/>
        <v>0</v>
      </c>
      <c r="BN231" s="69">
        <f t="shared" si="180"/>
        <v>0</v>
      </c>
      <c r="BO231" s="69">
        <f t="shared" si="180"/>
        <v>0</v>
      </c>
      <c r="BP231" s="69">
        <f t="shared" si="180"/>
        <v>0</v>
      </c>
      <c r="BQ231" s="69">
        <f t="shared" si="180"/>
        <v>0</v>
      </c>
      <c r="BR231" s="69">
        <f t="shared" si="180"/>
        <v>0</v>
      </c>
      <c r="BS231" s="69">
        <f t="shared" si="180"/>
        <v>0</v>
      </c>
      <c r="BT231" s="69">
        <f t="shared" si="180"/>
        <v>0</v>
      </c>
      <c r="BU231" s="69">
        <f t="shared" si="180"/>
        <v>0</v>
      </c>
      <c r="BV231" s="69">
        <f t="shared" si="180"/>
        <v>0</v>
      </c>
      <c r="BW231" s="69">
        <f t="shared" si="180"/>
        <v>0</v>
      </c>
      <c r="BX231" s="69">
        <f t="shared" si="180"/>
        <v>0</v>
      </c>
      <c r="BY231" s="69">
        <f t="shared" si="180"/>
        <v>0</v>
      </c>
      <c r="BZ231" s="69">
        <f t="shared" si="180"/>
        <v>0</v>
      </c>
      <c r="CA231" s="69">
        <f t="shared" si="180"/>
        <v>0</v>
      </c>
      <c r="CB231" s="69">
        <f t="shared" si="180"/>
        <v>0</v>
      </c>
      <c r="CC231" s="69">
        <f t="shared" si="180"/>
        <v>0</v>
      </c>
      <c r="CD231" s="70">
        <f>BQ231</f>
        <v>0</v>
      </c>
      <c r="CE231" s="70">
        <f>CC231</f>
        <v>0</v>
      </c>
      <c r="CF231" s="2"/>
      <c r="CG231" s="69">
        <f t="shared" ref="CG231:DD231" si="181">inp_other_cl</f>
        <v>0</v>
      </c>
      <c r="CH231" s="69">
        <f t="shared" si="181"/>
        <v>0</v>
      </c>
      <c r="CI231" s="69">
        <f t="shared" si="181"/>
        <v>0</v>
      </c>
      <c r="CJ231" s="69">
        <f t="shared" si="181"/>
        <v>0</v>
      </c>
      <c r="CK231" s="69">
        <f t="shared" si="181"/>
        <v>0</v>
      </c>
      <c r="CL231" s="69">
        <f t="shared" si="181"/>
        <v>0</v>
      </c>
      <c r="CM231" s="69">
        <f t="shared" si="181"/>
        <v>0</v>
      </c>
      <c r="CN231" s="69">
        <f t="shared" si="181"/>
        <v>0</v>
      </c>
      <c r="CO231" s="69">
        <f t="shared" si="181"/>
        <v>0</v>
      </c>
      <c r="CP231" s="69">
        <f t="shared" si="181"/>
        <v>0</v>
      </c>
      <c r="CQ231" s="69">
        <f t="shared" si="181"/>
        <v>0</v>
      </c>
      <c r="CR231" s="69">
        <f t="shared" si="181"/>
        <v>0</v>
      </c>
      <c r="CS231" s="69">
        <f t="shared" si="181"/>
        <v>0</v>
      </c>
      <c r="CT231" s="69">
        <f t="shared" si="181"/>
        <v>0</v>
      </c>
      <c r="CU231" s="69">
        <f t="shared" si="181"/>
        <v>0</v>
      </c>
      <c r="CV231" s="69">
        <f t="shared" si="181"/>
        <v>0</v>
      </c>
      <c r="CW231" s="69">
        <f t="shared" si="181"/>
        <v>0</v>
      </c>
      <c r="CX231" s="69">
        <f t="shared" si="181"/>
        <v>0</v>
      </c>
      <c r="CY231" s="69">
        <f t="shared" si="181"/>
        <v>0</v>
      </c>
      <c r="CZ231" s="69">
        <f t="shared" si="181"/>
        <v>0</v>
      </c>
      <c r="DA231" s="69">
        <f t="shared" si="181"/>
        <v>0</v>
      </c>
      <c r="DB231" s="69">
        <f t="shared" si="181"/>
        <v>0</v>
      </c>
      <c r="DC231" s="69">
        <f t="shared" si="181"/>
        <v>0</v>
      </c>
      <c r="DD231" s="69">
        <f t="shared" si="181"/>
        <v>0</v>
      </c>
      <c r="DE231" s="70">
        <f>CR231</f>
        <v>0</v>
      </c>
      <c r="DF231" s="70">
        <f>DD231</f>
        <v>0</v>
      </c>
      <c r="DG231"/>
      <c r="DH231"/>
    </row>
    <row r="232" spans="1:112" hidden="1" x14ac:dyDescent="0.2">
      <c r="A232" s="2"/>
      <c r="B232" s="35" t="s">
        <v>154</v>
      </c>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69">
        <f t="shared" ref="AE232:BB232" si="182">AE231-AE230</f>
        <v>0</v>
      </c>
      <c r="AF232" s="69">
        <f t="shared" si="182"/>
        <v>0</v>
      </c>
      <c r="AG232" s="69">
        <f t="shared" si="182"/>
        <v>0</v>
      </c>
      <c r="AH232" s="69">
        <f t="shared" si="182"/>
        <v>0</v>
      </c>
      <c r="AI232" s="69">
        <f t="shared" si="182"/>
        <v>0</v>
      </c>
      <c r="AJ232" s="69">
        <f t="shared" si="182"/>
        <v>0</v>
      </c>
      <c r="AK232" s="69">
        <f t="shared" si="182"/>
        <v>0</v>
      </c>
      <c r="AL232" s="69">
        <f t="shared" si="182"/>
        <v>0</v>
      </c>
      <c r="AM232" s="69">
        <f t="shared" si="182"/>
        <v>0</v>
      </c>
      <c r="AN232" s="69">
        <f t="shared" si="182"/>
        <v>0</v>
      </c>
      <c r="AO232" s="69">
        <f t="shared" si="182"/>
        <v>0</v>
      </c>
      <c r="AP232" s="69">
        <f t="shared" si="182"/>
        <v>0</v>
      </c>
      <c r="AQ232" s="69">
        <f t="shared" si="182"/>
        <v>0</v>
      </c>
      <c r="AR232" s="69">
        <f t="shared" si="182"/>
        <v>0</v>
      </c>
      <c r="AS232" s="69">
        <f t="shared" si="182"/>
        <v>0</v>
      </c>
      <c r="AT232" s="69">
        <f t="shared" si="182"/>
        <v>0</v>
      </c>
      <c r="AU232" s="69">
        <f t="shared" si="182"/>
        <v>0</v>
      </c>
      <c r="AV232" s="69">
        <f t="shared" si="182"/>
        <v>0</v>
      </c>
      <c r="AW232" s="69">
        <f t="shared" si="182"/>
        <v>0</v>
      </c>
      <c r="AX232" s="69">
        <f t="shared" si="182"/>
        <v>0</v>
      </c>
      <c r="AY232" s="69">
        <f t="shared" si="182"/>
        <v>0</v>
      </c>
      <c r="AZ232" s="69">
        <f t="shared" si="182"/>
        <v>0</v>
      </c>
      <c r="BA232" s="69">
        <f t="shared" si="182"/>
        <v>0</v>
      </c>
      <c r="BB232" s="69">
        <f t="shared" si="182"/>
        <v>0</v>
      </c>
      <c r="BC232" s="70">
        <f>SUM(AE232:AP232)</f>
        <v>0</v>
      </c>
      <c r="BD232" s="70">
        <f>SUM(AQ232:BB232)</f>
        <v>0</v>
      </c>
      <c r="BE232" s="2"/>
      <c r="BF232" s="69">
        <f t="shared" ref="BF232:CC232" si="183">BF231-BF230</f>
        <v>0</v>
      </c>
      <c r="BG232" s="69">
        <f t="shared" si="183"/>
        <v>0</v>
      </c>
      <c r="BH232" s="69">
        <f t="shared" si="183"/>
        <v>0</v>
      </c>
      <c r="BI232" s="69">
        <f t="shared" si="183"/>
        <v>0</v>
      </c>
      <c r="BJ232" s="69">
        <f t="shared" si="183"/>
        <v>0</v>
      </c>
      <c r="BK232" s="69">
        <f t="shared" si="183"/>
        <v>0</v>
      </c>
      <c r="BL232" s="69">
        <f t="shared" si="183"/>
        <v>0</v>
      </c>
      <c r="BM232" s="69">
        <f t="shared" si="183"/>
        <v>0</v>
      </c>
      <c r="BN232" s="69">
        <f t="shared" si="183"/>
        <v>0</v>
      </c>
      <c r="BO232" s="69">
        <f t="shared" si="183"/>
        <v>0</v>
      </c>
      <c r="BP232" s="69">
        <f t="shared" si="183"/>
        <v>0</v>
      </c>
      <c r="BQ232" s="69">
        <f t="shared" si="183"/>
        <v>0</v>
      </c>
      <c r="BR232" s="69">
        <f t="shared" si="183"/>
        <v>0</v>
      </c>
      <c r="BS232" s="69">
        <f t="shared" si="183"/>
        <v>0</v>
      </c>
      <c r="BT232" s="69">
        <f t="shared" si="183"/>
        <v>0</v>
      </c>
      <c r="BU232" s="69">
        <f t="shared" si="183"/>
        <v>0</v>
      </c>
      <c r="BV232" s="69">
        <f t="shared" si="183"/>
        <v>0</v>
      </c>
      <c r="BW232" s="69">
        <f t="shared" si="183"/>
        <v>0</v>
      </c>
      <c r="BX232" s="69">
        <f t="shared" si="183"/>
        <v>0</v>
      </c>
      <c r="BY232" s="69">
        <f t="shared" si="183"/>
        <v>0</v>
      </c>
      <c r="BZ232" s="69">
        <f t="shared" si="183"/>
        <v>0</v>
      </c>
      <c r="CA232" s="69">
        <f t="shared" si="183"/>
        <v>0</v>
      </c>
      <c r="CB232" s="69">
        <f t="shared" si="183"/>
        <v>0</v>
      </c>
      <c r="CC232" s="69">
        <f t="shared" si="183"/>
        <v>0</v>
      </c>
      <c r="CD232" s="70">
        <f>SUM(BF232:BQ232)</f>
        <v>0</v>
      </c>
      <c r="CE232" s="70">
        <f>SUM(BR232:CC232)</f>
        <v>0</v>
      </c>
      <c r="CF232" s="2"/>
      <c r="CG232" s="69">
        <f t="shared" ref="CG232:DD232" si="184">CG231-CG230</f>
        <v>0</v>
      </c>
      <c r="CH232" s="69">
        <f t="shared" si="184"/>
        <v>0</v>
      </c>
      <c r="CI232" s="69">
        <f t="shared" si="184"/>
        <v>0</v>
      </c>
      <c r="CJ232" s="69">
        <f t="shared" si="184"/>
        <v>0</v>
      </c>
      <c r="CK232" s="69">
        <f t="shared" si="184"/>
        <v>0</v>
      </c>
      <c r="CL232" s="69">
        <f t="shared" si="184"/>
        <v>0</v>
      </c>
      <c r="CM232" s="69">
        <f t="shared" si="184"/>
        <v>0</v>
      </c>
      <c r="CN232" s="69">
        <f t="shared" si="184"/>
        <v>0</v>
      </c>
      <c r="CO232" s="69">
        <f t="shared" si="184"/>
        <v>0</v>
      </c>
      <c r="CP232" s="69">
        <f t="shared" si="184"/>
        <v>0</v>
      </c>
      <c r="CQ232" s="69">
        <f t="shared" si="184"/>
        <v>0</v>
      </c>
      <c r="CR232" s="69">
        <f t="shared" si="184"/>
        <v>0</v>
      </c>
      <c r="CS232" s="69">
        <f t="shared" si="184"/>
        <v>0</v>
      </c>
      <c r="CT232" s="69">
        <f t="shared" si="184"/>
        <v>0</v>
      </c>
      <c r="CU232" s="69">
        <f t="shared" si="184"/>
        <v>0</v>
      </c>
      <c r="CV232" s="69">
        <f t="shared" si="184"/>
        <v>0</v>
      </c>
      <c r="CW232" s="69">
        <f t="shared" si="184"/>
        <v>0</v>
      </c>
      <c r="CX232" s="69">
        <f t="shared" si="184"/>
        <v>0</v>
      </c>
      <c r="CY232" s="69">
        <f t="shared" si="184"/>
        <v>0</v>
      </c>
      <c r="CZ232" s="69">
        <f t="shared" si="184"/>
        <v>0</v>
      </c>
      <c r="DA232" s="69">
        <f t="shared" si="184"/>
        <v>0</v>
      </c>
      <c r="DB232" s="69">
        <f t="shared" si="184"/>
        <v>0</v>
      </c>
      <c r="DC232" s="69">
        <f t="shared" si="184"/>
        <v>0</v>
      </c>
      <c r="DD232" s="69">
        <f t="shared" si="184"/>
        <v>0</v>
      </c>
      <c r="DE232" s="70">
        <f>SUM(CG232:CR232)</f>
        <v>0</v>
      </c>
      <c r="DF232" s="70">
        <f>SUM(CS232:DD232)</f>
        <v>0</v>
      </c>
      <c r="DG232"/>
      <c r="DH232"/>
    </row>
    <row r="233" spans="1:112" hidden="1" x14ac:dyDescent="0.2">
      <c r="A233" s="2"/>
      <c r="B233" s="35" t="s">
        <v>155</v>
      </c>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69">
        <f>INDEX(inp_tax_pay_pct,1)*SUM(AE218:AP218)</f>
        <v>0</v>
      </c>
      <c r="AF233" s="69">
        <f>INDEX(inp_tax_pay_pct,2)*SUM(AE218:AP218)</f>
        <v>0</v>
      </c>
      <c r="AG233" s="69">
        <f>INDEX(inp_tax_pay_pct,3)*SUM(AE218:AP218)</f>
        <v>0</v>
      </c>
      <c r="AH233" s="69">
        <f>INDEX(inp_tax_pay_pct,4)*SUM(AE218:AP218)</f>
        <v>0</v>
      </c>
      <c r="AI233" s="69">
        <f>INDEX(inp_tax_pay_pct,5)*SUM(AE218:AP218)</f>
        <v>0</v>
      </c>
      <c r="AJ233" s="69">
        <f>INDEX(inp_tax_pay_pct,6)*SUM(AE218:AP218)</f>
        <v>0</v>
      </c>
      <c r="AK233" s="69">
        <f>INDEX(inp_tax_pay_pct,7)*SUM(AE218:AP218)</f>
        <v>0</v>
      </c>
      <c r="AL233" s="69">
        <f>INDEX(inp_tax_pay_pct,8)*SUM(AE218:AP218)</f>
        <v>0</v>
      </c>
      <c r="AM233" s="69">
        <f>INDEX(inp_tax_pay_pct,9)*SUM(AE218:AP218)</f>
        <v>0</v>
      </c>
      <c r="AN233" s="69">
        <f>INDEX(inp_tax_pay_pct,10)*SUM(AE218:AP218)</f>
        <v>0</v>
      </c>
      <c r="AO233" s="69">
        <f>INDEX(inp_tax_pay_pct,11)*SUM(AE218:AP218)</f>
        <v>0</v>
      </c>
      <c r="AP233" s="69">
        <f>INDEX(inp_tax_pay_pct,12)*SUM(AE218:AP218)</f>
        <v>0</v>
      </c>
      <c r="AQ233" s="69">
        <f>INDEX(inp_tax_pay_pct,13)*SUM(AQ218:BB218)</f>
        <v>0</v>
      </c>
      <c r="AR233" s="69">
        <f>INDEX(inp_tax_pay_pct,14)*SUM(AQ218:BB218)</f>
        <v>0</v>
      </c>
      <c r="AS233" s="69">
        <f>INDEX(inp_tax_pay_pct,15)*SUM(AQ218:BB218)</f>
        <v>0</v>
      </c>
      <c r="AT233" s="69">
        <f>INDEX(inp_tax_pay_pct,16)*SUM(AQ218:BB218)</f>
        <v>0</v>
      </c>
      <c r="AU233" s="69">
        <f>INDEX(inp_tax_pay_pct,17)*SUM(AQ218:BB218)</f>
        <v>0</v>
      </c>
      <c r="AV233" s="69">
        <f>INDEX(inp_tax_pay_pct,18)*SUM(AQ218:BB218)</f>
        <v>0</v>
      </c>
      <c r="AW233" s="69">
        <f>INDEX(inp_tax_pay_pct,19)*SUM(AQ218:BB218)</f>
        <v>0</v>
      </c>
      <c r="AX233" s="69">
        <f>INDEX(inp_tax_pay_pct,20)*SUM(AQ218:BB218)</f>
        <v>0</v>
      </c>
      <c r="AY233" s="69">
        <f>INDEX(inp_tax_pay_pct,21)*SUM(AQ218:BB218)</f>
        <v>0</v>
      </c>
      <c r="AZ233" s="69">
        <f>INDEX(inp_tax_pay_pct,22)*SUM(AQ218:BB218)</f>
        <v>0</v>
      </c>
      <c r="BA233" s="69">
        <f>INDEX(inp_tax_pay_pct,23)*SUM(AQ218:BB218)</f>
        <v>0</v>
      </c>
      <c r="BB233" s="69">
        <f>INDEX(inp_tax_pay_pct,24)*SUM(AQ218:BB218)</f>
        <v>0</v>
      </c>
      <c r="BC233" s="70">
        <f>SUM(AE233:AP233)</f>
        <v>0</v>
      </c>
      <c r="BD233" s="70">
        <f>SUM(AQ233:BB233)</f>
        <v>0</v>
      </c>
      <c r="BE233" s="2"/>
      <c r="BF233" s="69">
        <f>INDEX(inp_tax_pay_pct,1)*SUM(BF218:BQ218)</f>
        <v>0</v>
      </c>
      <c r="BG233" s="69">
        <f>INDEX(inp_tax_pay_pct,2)*SUM(BF218:BQ218)</f>
        <v>0</v>
      </c>
      <c r="BH233" s="69">
        <f>INDEX(inp_tax_pay_pct,3)*SUM(BF218:BQ218)</f>
        <v>0</v>
      </c>
      <c r="BI233" s="69">
        <f>INDEX(inp_tax_pay_pct,4)*SUM(BF218:BQ218)</f>
        <v>0</v>
      </c>
      <c r="BJ233" s="69">
        <f>INDEX(inp_tax_pay_pct,5)*SUM(BF218:BQ218)</f>
        <v>0</v>
      </c>
      <c r="BK233" s="69">
        <f>INDEX(inp_tax_pay_pct,6)*SUM(BF218:BQ218)</f>
        <v>0</v>
      </c>
      <c r="BL233" s="69">
        <f>INDEX(inp_tax_pay_pct,7)*SUM(BF218:BQ218)</f>
        <v>0</v>
      </c>
      <c r="BM233" s="69">
        <f>INDEX(inp_tax_pay_pct,8)*SUM(BF218:BQ218)</f>
        <v>0</v>
      </c>
      <c r="BN233" s="69">
        <f>INDEX(inp_tax_pay_pct,9)*SUM(BF218:BQ218)</f>
        <v>0</v>
      </c>
      <c r="BO233" s="69">
        <f>INDEX(inp_tax_pay_pct,10)*SUM(BF218:BQ218)</f>
        <v>0</v>
      </c>
      <c r="BP233" s="69">
        <f>INDEX(inp_tax_pay_pct,11)*SUM(BF218:BQ218)</f>
        <v>0</v>
      </c>
      <c r="BQ233" s="69">
        <f>INDEX(inp_tax_pay_pct,12)*SUM(BF218:BQ218)</f>
        <v>0</v>
      </c>
      <c r="BR233" s="69">
        <f>INDEX(inp_tax_pay_pct,13)*SUM(BR218:CC218)</f>
        <v>0</v>
      </c>
      <c r="BS233" s="69">
        <f>INDEX(inp_tax_pay_pct,14)*SUM(BR218:CC218)</f>
        <v>0</v>
      </c>
      <c r="BT233" s="69">
        <f>INDEX(inp_tax_pay_pct,15)*SUM(BR218:CC218)</f>
        <v>0</v>
      </c>
      <c r="BU233" s="69">
        <f>INDEX(inp_tax_pay_pct,16)*SUM(BR218:CC218)</f>
        <v>0</v>
      </c>
      <c r="BV233" s="69">
        <f>INDEX(inp_tax_pay_pct,17)*SUM(BR218:CC218)</f>
        <v>0</v>
      </c>
      <c r="BW233" s="69">
        <f>INDEX(inp_tax_pay_pct,18)*SUM(BR218:CC218)</f>
        <v>0</v>
      </c>
      <c r="BX233" s="69">
        <f>INDEX(inp_tax_pay_pct,19)*SUM(BR218:CC218)</f>
        <v>0</v>
      </c>
      <c r="BY233" s="69">
        <f>INDEX(inp_tax_pay_pct,20)*SUM(BR218:CC218)</f>
        <v>0</v>
      </c>
      <c r="BZ233" s="69">
        <f>INDEX(inp_tax_pay_pct,21)*SUM(BR218:CC218)</f>
        <v>0</v>
      </c>
      <c r="CA233" s="69">
        <f>INDEX(inp_tax_pay_pct,22)*SUM(BR218:CC218)</f>
        <v>0</v>
      </c>
      <c r="CB233" s="69">
        <f>INDEX(inp_tax_pay_pct,23)*SUM(BR218:CC218)</f>
        <v>0</v>
      </c>
      <c r="CC233" s="69">
        <f>INDEX(inp_tax_pay_pct,24)*SUM(BR218:CC218)</f>
        <v>0</v>
      </c>
      <c r="CD233" s="70">
        <f>SUM(BF233:BQ233)</f>
        <v>0</v>
      </c>
      <c r="CE233" s="70">
        <f>SUM(BR233:CC233)</f>
        <v>0</v>
      </c>
      <c r="CF233" s="2"/>
      <c r="CG233" s="69">
        <f>INDEX(inp_tax_pay_pct,1)*SUM(CG218:CR218)</f>
        <v>0</v>
      </c>
      <c r="CH233" s="69">
        <f>INDEX(inp_tax_pay_pct,2)*SUM(CG218:CR218)</f>
        <v>0</v>
      </c>
      <c r="CI233" s="69">
        <f>INDEX(inp_tax_pay_pct,3)*SUM(CG218:CR218)</f>
        <v>0</v>
      </c>
      <c r="CJ233" s="69">
        <f>INDEX(inp_tax_pay_pct,4)*SUM(CG218:CR218)</f>
        <v>0</v>
      </c>
      <c r="CK233" s="69">
        <f>INDEX(inp_tax_pay_pct,5)*SUM(CG218:CR218)</f>
        <v>0</v>
      </c>
      <c r="CL233" s="69">
        <f>INDEX(inp_tax_pay_pct,6)*SUM(CG218:CR218)</f>
        <v>0</v>
      </c>
      <c r="CM233" s="69">
        <f>INDEX(inp_tax_pay_pct,7)*SUM(CG218:CR218)</f>
        <v>0</v>
      </c>
      <c r="CN233" s="69">
        <f>INDEX(inp_tax_pay_pct,8)*SUM(CG218:CR218)</f>
        <v>0</v>
      </c>
      <c r="CO233" s="69">
        <f>INDEX(inp_tax_pay_pct,9)*SUM(CG218:CR218)</f>
        <v>0</v>
      </c>
      <c r="CP233" s="69">
        <f>INDEX(inp_tax_pay_pct,10)*SUM(CG218:CR218)</f>
        <v>0</v>
      </c>
      <c r="CQ233" s="69">
        <f>INDEX(inp_tax_pay_pct,11)*SUM(CG218:CR218)</f>
        <v>0</v>
      </c>
      <c r="CR233" s="69">
        <f>INDEX(inp_tax_pay_pct,12)*SUM(CG218:CR218)</f>
        <v>0</v>
      </c>
      <c r="CS233" s="69">
        <f>INDEX(inp_tax_pay_pct,13)*SUM(CS218:DD218)</f>
        <v>0</v>
      </c>
      <c r="CT233" s="69">
        <f>INDEX(inp_tax_pay_pct,14)*SUM(CS218:DD218)</f>
        <v>0</v>
      </c>
      <c r="CU233" s="69">
        <f>INDEX(inp_tax_pay_pct,15)*SUM(CS218:DD218)</f>
        <v>0</v>
      </c>
      <c r="CV233" s="69">
        <f>INDEX(inp_tax_pay_pct,16)*SUM(CS218:DD218)</f>
        <v>0</v>
      </c>
      <c r="CW233" s="69">
        <f>INDEX(inp_tax_pay_pct,17)*SUM(CS218:DD218)</f>
        <v>0</v>
      </c>
      <c r="CX233" s="69">
        <f>INDEX(inp_tax_pay_pct,18)*SUM(CS218:DD218)</f>
        <v>0</v>
      </c>
      <c r="CY233" s="69">
        <f>INDEX(inp_tax_pay_pct,19)*SUM(CS218:DD218)</f>
        <v>0</v>
      </c>
      <c r="CZ233" s="69">
        <f>INDEX(inp_tax_pay_pct,20)*SUM(CS218:DD218)</f>
        <v>0</v>
      </c>
      <c r="DA233" s="69">
        <f>INDEX(inp_tax_pay_pct,21)*SUM(CS218:DD218)</f>
        <v>0</v>
      </c>
      <c r="DB233" s="69">
        <f>INDEX(inp_tax_pay_pct,22)*SUM(CS218:DD218)</f>
        <v>0</v>
      </c>
      <c r="DC233" s="69">
        <f>INDEX(inp_tax_pay_pct,23)*SUM(CS218:DD218)</f>
        <v>0</v>
      </c>
      <c r="DD233" s="69">
        <f>INDEX(inp_tax_pay_pct,24)*SUM(CS218:DD218)</f>
        <v>0</v>
      </c>
      <c r="DE233" s="70">
        <f>SUM(CG233:CR233)</f>
        <v>0</v>
      </c>
      <c r="DF233" s="70">
        <f>SUM(CS233:DD233)</f>
        <v>0</v>
      </c>
      <c r="DG233"/>
      <c r="DH233"/>
    </row>
    <row r="234" spans="1:112" hidden="1" x14ac:dyDescent="0.2">
      <c r="A234" s="2"/>
      <c r="B234" s="35" t="s">
        <v>156</v>
      </c>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69">
        <f>inp_open_tax_pay</f>
        <v>0</v>
      </c>
      <c r="AF234" s="69">
        <f t="shared" ref="AF234:BB234" si="185">AE235</f>
        <v>0</v>
      </c>
      <c r="AG234" s="69">
        <f t="shared" si="185"/>
        <v>0</v>
      </c>
      <c r="AH234" s="69">
        <f t="shared" si="185"/>
        <v>0</v>
      </c>
      <c r="AI234" s="69">
        <f t="shared" si="185"/>
        <v>0</v>
      </c>
      <c r="AJ234" s="69">
        <f t="shared" si="185"/>
        <v>0</v>
      </c>
      <c r="AK234" s="69">
        <f t="shared" si="185"/>
        <v>0</v>
      </c>
      <c r="AL234" s="69">
        <f t="shared" si="185"/>
        <v>0</v>
      </c>
      <c r="AM234" s="69">
        <f t="shared" si="185"/>
        <v>0</v>
      </c>
      <c r="AN234" s="69">
        <f t="shared" si="185"/>
        <v>0</v>
      </c>
      <c r="AO234" s="69">
        <f t="shared" si="185"/>
        <v>0</v>
      </c>
      <c r="AP234" s="69">
        <f t="shared" si="185"/>
        <v>0</v>
      </c>
      <c r="AQ234" s="69">
        <f t="shared" si="185"/>
        <v>0</v>
      </c>
      <c r="AR234" s="69">
        <f t="shared" si="185"/>
        <v>0</v>
      </c>
      <c r="AS234" s="69">
        <f t="shared" si="185"/>
        <v>0</v>
      </c>
      <c r="AT234" s="69">
        <f t="shared" si="185"/>
        <v>0</v>
      </c>
      <c r="AU234" s="69">
        <f t="shared" si="185"/>
        <v>0</v>
      </c>
      <c r="AV234" s="69">
        <f t="shared" si="185"/>
        <v>0</v>
      </c>
      <c r="AW234" s="69">
        <f t="shared" si="185"/>
        <v>0</v>
      </c>
      <c r="AX234" s="69">
        <f t="shared" si="185"/>
        <v>0</v>
      </c>
      <c r="AY234" s="69">
        <f t="shared" si="185"/>
        <v>0</v>
      </c>
      <c r="AZ234" s="69">
        <f t="shared" si="185"/>
        <v>0</v>
      </c>
      <c r="BA234" s="69">
        <f t="shared" si="185"/>
        <v>0</v>
      </c>
      <c r="BB234" s="69">
        <f t="shared" si="185"/>
        <v>0</v>
      </c>
      <c r="BC234" s="70">
        <f>AP234</f>
        <v>0</v>
      </c>
      <c r="BD234" s="70">
        <f>BB234</f>
        <v>0</v>
      </c>
      <c r="BE234" s="2"/>
      <c r="BF234" s="69">
        <f>inp_open_tax_pay</f>
        <v>0</v>
      </c>
      <c r="BG234" s="69">
        <f t="shared" ref="BG234:CC234" si="186">BF235</f>
        <v>0</v>
      </c>
      <c r="BH234" s="69">
        <f t="shared" si="186"/>
        <v>0</v>
      </c>
      <c r="BI234" s="69">
        <f t="shared" si="186"/>
        <v>0</v>
      </c>
      <c r="BJ234" s="69">
        <f t="shared" si="186"/>
        <v>0</v>
      </c>
      <c r="BK234" s="69">
        <f t="shared" si="186"/>
        <v>0</v>
      </c>
      <c r="BL234" s="69">
        <f t="shared" si="186"/>
        <v>0</v>
      </c>
      <c r="BM234" s="69">
        <f t="shared" si="186"/>
        <v>0</v>
      </c>
      <c r="BN234" s="69">
        <f t="shared" si="186"/>
        <v>0</v>
      </c>
      <c r="BO234" s="69">
        <f t="shared" si="186"/>
        <v>0</v>
      </c>
      <c r="BP234" s="69">
        <f t="shared" si="186"/>
        <v>0</v>
      </c>
      <c r="BQ234" s="69">
        <f t="shared" si="186"/>
        <v>0</v>
      </c>
      <c r="BR234" s="69">
        <f t="shared" si="186"/>
        <v>0</v>
      </c>
      <c r="BS234" s="69">
        <f t="shared" si="186"/>
        <v>0</v>
      </c>
      <c r="BT234" s="69">
        <f t="shared" si="186"/>
        <v>0</v>
      </c>
      <c r="BU234" s="69">
        <f t="shared" si="186"/>
        <v>0</v>
      </c>
      <c r="BV234" s="69">
        <f t="shared" si="186"/>
        <v>0</v>
      </c>
      <c r="BW234" s="69">
        <f t="shared" si="186"/>
        <v>0</v>
      </c>
      <c r="BX234" s="69">
        <f t="shared" si="186"/>
        <v>0</v>
      </c>
      <c r="BY234" s="69">
        <f t="shared" si="186"/>
        <v>0</v>
      </c>
      <c r="BZ234" s="69">
        <f t="shared" si="186"/>
        <v>0</v>
      </c>
      <c r="CA234" s="69">
        <f t="shared" si="186"/>
        <v>0</v>
      </c>
      <c r="CB234" s="69">
        <f t="shared" si="186"/>
        <v>0</v>
      </c>
      <c r="CC234" s="69">
        <f t="shared" si="186"/>
        <v>0</v>
      </c>
      <c r="CD234" s="70">
        <f>BQ234</f>
        <v>0</v>
      </c>
      <c r="CE234" s="70">
        <f>CC234</f>
        <v>0</v>
      </c>
      <c r="CF234" s="2"/>
      <c r="CG234" s="69">
        <f>inp_open_tax_pay</f>
        <v>0</v>
      </c>
      <c r="CH234" s="69">
        <f t="shared" ref="CH234:DD234" si="187">CG235</f>
        <v>0</v>
      </c>
      <c r="CI234" s="69">
        <f t="shared" si="187"/>
        <v>0</v>
      </c>
      <c r="CJ234" s="69">
        <f t="shared" si="187"/>
        <v>0</v>
      </c>
      <c r="CK234" s="69">
        <f t="shared" si="187"/>
        <v>0</v>
      </c>
      <c r="CL234" s="69">
        <f t="shared" si="187"/>
        <v>0</v>
      </c>
      <c r="CM234" s="69">
        <f t="shared" si="187"/>
        <v>0</v>
      </c>
      <c r="CN234" s="69">
        <f t="shared" si="187"/>
        <v>0</v>
      </c>
      <c r="CO234" s="69">
        <f t="shared" si="187"/>
        <v>0</v>
      </c>
      <c r="CP234" s="69">
        <f t="shared" si="187"/>
        <v>0</v>
      </c>
      <c r="CQ234" s="69">
        <f t="shared" si="187"/>
        <v>0</v>
      </c>
      <c r="CR234" s="69">
        <f t="shared" si="187"/>
        <v>0</v>
      </c>
      <c r="CS234" s="69">
        <f t="shared" si="187"/>
        <v>0</v>
      </c>
      <c r="CT234" s="69">
        <f t="shared" si="187"/>
        <v>0</v>
      </c>
      <c r="CU234" s="69">
        <f t="shared" si="187"/>
        <v>0</v>
      </c>
      <c r="CV234" s="69">
        <f t="shared" si="187"/>
        <v>0</v>
      </c>
      <c r="CW234" s="69">
        <f t="shared" si="187"/>
        <v>0</v>
      </c>
      <c r="CX234" s="69">
        <f t="shared" si="187"/>
        <v>0</v>
      </c>
      <c r="CY234" s="69">
        <f t="shared" si="187"/>
        <v>0</v>
      </c>
      <c r="CZ234" s="69">
        <f t="shared" si="187"/>
        <v>0</v>
      </c>
      <c r="DA234" s="69">
        <f t="shared" si="187"/>
        <v>0</v>
      </c>
      <c r="DB234" s="69">
        <f t="shared" si="187"/>
        <v>0</v>
      </c>
      <c r="DC234" s="69">
        <f t="shared" si="187"/>
        <v>0</v>
      </c>
      <c r="DD234" s="69">
        <f t="shared" si="187"/>
        <v>0</v>
      </c>
      <c r="DE234" s="70">
        <f>CR234</f>
        <v>0</v>
      </c>
      <c r="DF234" s="70">
        <f>DD234</f>
        <v>0</v>
      </c>
      <c r="DG234"/>
      <c r="DH234"/>
    </row>
    <row r="235" spans="1:112" hidden="1" x14ac:dyDescent="0.2">
      <c r="A235" s="2"/>
      <c r="B235" s="35" t="s">
        <v>157</v>
      </c>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69">
        <f t="shared" ref="AE235:BB235" si="188">AE234+AE218-AE233</f>
        <v>0</v>
      </c>
      <c r="AF235" s="69">
        <f t="shared" si="188"/>
        <v>0</v>
      </c>
      <c r="AG235" s="69">
        <f t="shared" si="188"/>
        <v>0</v>
      </c>
      <c r="AH235" s="69">
        <f t="shared" si="188"/>
        <v>0</v>
      </c>
      <c r="AI235" s="69">
        <f t="shared" si="188"/>
        <v>0</v>
      </c>
      <c r="AJ235" s="69">
        <f t="shared" si="188"/>
        <v>0</v>
      </c>
      <c r="AK235" s="69">
        <f t="shared" si="188"/>
        <v>0</v>
      </c>
      <c r="AL235" s="69">
        <f t="shared" si="188"/>
        <v>0</v>
      </c>
      <c r="AM235" s="69">
        <f t="shared" si="188"/>
        <v>0</v>
      </c>
      <c r="AN235" s="69">
        <f t="shared" si="188"/>
        <v>0</v>
      </c>
      <c r="AO235" s="69">
        <f t="shared" si="188"/>
        <v>0</v>
      </c>
      <c r="AP235" s="69">
        <f t="shared" si="188"/>
        <v>0</v>
      </c>
      <c r="AQ235" s="69">
        <f t="shared" si="188"/>
        <v>0</v>
      </c>
      <c r="AR235" s="69">
        <f t="shared" si="188"/>
        <v>0</v>
      </c>
      <c r="AS235" s="69">
        <f t="shared" si="188"/>
        <v>0</v>
      </c>
      <c r="AT235" s="69">
        <f t="shared" si="188"/>
        <v>0</v>
      </c>
      <c r="AU235" s="69">
        <f t="shared" si="188"/>
        <v>0</v>
      </c>
      <c r="AV235" s="69">
        <f t="shared" si="188"/>
        <v>0</v>
      </c>
      <c r="AW235" s="69">
        <f t="shared" si="188"/>
        <v>0</v>
      </c>
      <c r="AX235" s="69">
        <f t="shared" si="188"/>
        <v>0</v>
      </c>
      <c r="AY235" s="69">
        <f t="shared" si="188"/>
        <v>0</v>
      </c>
      <c r="AZ235" s="69">
        <f t="shared" si="188"/>
        <v>0</v>
      </c>
      <c r="BA235" s="69">
        <f t="shared" si="188"/>
        <v>0</v>
      </c>
      <c r="BB235" s="69">
        <f t="shared" si="188"/>
        <v>0</v>
      </c>
      <c r="BC235" s="70">
        <f>AP235</f>
        <v>0</v>
      </c>
      <c r="BD235" s="70">
        <f>BB235</f>
        <v>0</v>
      </c>
      <c r="BE235" s="2"/>
      <c r="BF235" s="69">
        <f t="shared" ref="BF235:CC235" si="189">BF234+BF218-BF233</f>
        <v>0</v>
      </c>
      <c r="BG235" s="69">
        <f t="shared" si="189"/>
        <v>0</v>
      </c>
      <c r="BH235" s="69">
        <f t="shared" si="189"/>
        <v>0</v>
      </c>
      <c r="BI235" s="69">
        <f t="shared" si="189"/>
        <v>0</v>
      </c>
      <c r="BJ235" s="69">
        <f t="shared" si="189"/>
        <v>0</v>
      </c>
      <c r="BK235" s="69">
        <f t="shared" si="189"/>
        <v>0</v>
      </c>
      <c r="BL235" s="69">
        <f t="shared" si="189"/>
        <v>0</v>
      </c>
      <c r="BM235" s="69">
        <f t="shared" si="189"/>
        <v>0</v>
      </c>
      <c r="BN235" s="69">
        <f t="shared" si="189"/>
        <v>0</v>
      </c>
      <c r="BO235" s="69">
        <f t="shared" si="189"/>
        <v>0</v>
      </c>
      <c r="BP235" s="69">
        <f t="shared" si="189"/>
        <v>0</v>
      </c>
      <c r="BQ235" s="69">
        <f t="shared" si="189"/>
        <v>0</v>
      </c>
      <c r="BR235" s="69">
        <f t="shared" si="189"/>
        <v>0</v>
      </c>
      <c r="BS235" s="69">
        <f t="shared" si="189"/>
        <v>0</v>
      </c>
      <c r="BT235" s="69">
        <f t="shared" si="189"/>
        <v>0</v>
      </c>
      <c r="BU235" s="69">
        <f t="shared" si="189"/>
        <v>0</v>
      </c>
      <c r="BV235" s="69">
        <f t="shared" si="189"/>
        <v>0</v>
      </c>
      <c r="BW235" s="69">
        <f t="shared" si="189"/>
        <v>0</v>
      </c>
      <c r="BX235" s="69">
        <f t="shared" si="189"/>
        <v>0</v>
      </c>
      <c r="BY235" s="69">
        <f t="shared" si="189"/>
        <v>0</v>
      </c>
      <c r="BZ235" s="69">
        <f t="shared" si="189"/>
        <v>0</v>
      </c>
      <c r="CA235" s="69">
        <f t="shared" si="189"/>
        <v>0</v>
      </c>
      <c r="CB235" s="69">
        <f t="shared" si="189"/>
        <v>0</v>
      </c>
      <c r="CC235" s="69">
        <f t="shared" si="189"/>
        <v>0</v>
      </c>
      <c r="CD235" s="70">
        <f>BQ235</f>
        <v>0</v>
      </c>
      <c r="CE235" s="70">
        <f>CC235</f>
        <v>0</v>
      </c>
      <c r="CF235" s="2"/>
      <c r="CG235" s="69">
        <f t="shared" ref="CG235:DD235" si="190">CG234+CG218-CG233</f>
        <v>0</v>
      </c>
      <c r="CH235" s="69">
        <f t="shared" si="190"/>
        <v>0</v>
      </c>
      <c r="CI235" s="69">
        <f t="shared" si="190"/>
        <v>0</v>
      </c>
      <c r="CJ235" s="69">
        <f t="shared" si="190"/>
        <v>0</v>
      </c>
      <c r="CK235" s="69">
        <f t="shared" si="190"/>
        <v>0</v>
      </c>
      <c r="CL235" s="69">
        <f t="shared" si="190"/>
        <v>0</v>
      </c>
      <c r="CM235" s="69">
        <f t="shared" si="190"/>
        <v>0</v>
      </c>
      <c r="CN235" s="69">
        <f t="shared" si="190"/>
        <v>0</v>
      </c>
      <c r="CO235" s="69">
        <f t="shared" si="190"/>
        <v>0</v>
      </c>
      <c r="CP235" s="69">
        <f t="shared" si="190"/>
        <v>0</v>
      </c>
      <c r="CQ235" s="69">
        <f t="shared" si="190"/>
        <v>0</v>
      </c>
      <c r="CR235" s="69">
        <f t="shared" si="190"/>
        <v>0</v>
      </c>
      <c r="CS235" s="69">
        <f t="shared" si="190"/>
        <v>0</v>
      </c>
      <c r="CT235" s="69">
        <f t="shared" si="190"/>
        <v>0</v>
      </c>
      <c r="CU235" s="69">
        <f t="shared" si="190"/>
        <v>0</v>
      </c>
      <c r="CV235" s="69">
        <f t="shared" si="190"/>
        <v>0</v>
      </c>
      <c r="CW235" s="69">
        <f t="shared" si="190"/>
        <v>0</v>
      </c>
      <c r="CX235" s="69">
        <f t="shared" si="190"/>
        <v>0</v>
      </c>
      <c r="CY235" s="69">
        <f t="shared" si="190"/>
        <v>0</v>
      </c>
      <c r="CZ235" s="69">
        <f t="shared" si="190"/>
        <v>0</v>
      </c>
      <c r="DA235" s="69">
        <f t="shared" si="190"/>
        <v>0</v>
      </c>
      <c r="DB235" s="69">
        <f t="shared" si="190"/>
        <v>0</v>
      </c>
      <c r="DC235" s="69">
        <f t="shared" si="190"/>
        <v>0</v>
      </c>
      <c r="DD235" s="69">
        <f t="shared" si="190"/>
        <v>0</v>
      </c>
      <c r="DE235" s="70">
        <f>CR235</f>
        <v>0</v>
      </c>
      <c r="DF235" s="70">
        <f>DD235</f>
        <v>0</v>
      </c>
      <c r="DG235"/>
      <c r="DH235"/>
    </row>
    <row r="236" spans="1:112" hidden="1" x14ac:dyDescent="0.2">
      <c r="A236" s="2"/>
      <c r="B236" s="35" t="s">
        <v>158</v>
      </c>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69">
        <f t="shared" ref="AE236:BB236" si="191">AE235-AE234</f>
        <v>0</v>
      </c>
      <c r="AF236" s="69">
        <f t="shared" si="191"/>
        <v>0</v>
      </c>
      <c r="AG236" s="69">
        <f t="shared" si="191"/>
        <v>0</v>
      </c>
      <c r="AH236" s="69">
        <f t="shared" si="191"/>
        <v>0</v>
      </c>
      <c r="AI236" s="69">
        <f t="shared" si="191"/>
        <v>0</v>
      </c>
      <c r="AJ236" s="69">
        <f t="shared" si="191"/>
        <v>0</v>
      </c>
      <c r="AK236" s="69">
        <f t="shared" si="191"/>
        <v>0</v>
      </c>
      <c r="AL236" s="69">
        <f t="shared" si="191"/>
        <v>0</v>
      </c>
      <c r="AM236" s="69">
        <f t="shared" si="191"/>
        <v>0</v>
      </c>
      <c r="AN236" s="69">
        <f t="shared" si="191"/>
        <v>0</v>
      </c>
      <c r="AO236" s="69">
        <f t="shared" si="191"/>
        <v>0</v>
      </c>
      <c r="AP236" s="69">
        <f t="shared" si="191"/>
        <v>0</v>
      </c>
      <c r="AQ236" s="69">
        <f t="shared" si="191"/>
        <v>0</v>
      </c>
      <c r="AR236" s="69">
        <f t="shared" si="191"/>
        <v>0</v>
      </c>
      <c r="AS236" s="69">
        <f t="shared" si="191"/>
        <v>0</v>
      </c>
      <c r="AT236" s="69">
        <f t="shared" si="191"/>
        <v>0</v>
      </c>
      <c r="AU236" s="69">
        <f t="shared" si="191"/>
        <v>0</v>
      </c>
      <c r="AV236" s="69">
        <f t="shared" si="191"/>
        <v>0</v>
      </c>
      <c r="AW236" s="69">
        <f t="shared" si="191"/>
        <v>0</v>
      </c>
      <c r="AX236" s="69">
        <f t="shared" si="191"/>
        <v>0</v>
      </c>
      <c r="AY236" s="69">
        <f t="shared" si="191"/>
        <v>0</v>
      </c>
      <c r="AZ236" s="69">
        <f t="shared" si="191"/>
        <v>0</v>
      </c>
      <c r="BA236" s="69">
        <f t="shared" si="191"/>
        <v>0</v>
      </c>
      <c r="BB236" s="69">
        <f t="shared" si="191"/>
        <v>0</v>
      </c>
      <c r="BC236" s="70">
        <f t="shared" ref="BC236:BC246" si="192">SUM(AE236:AP236)</f>
        <v>0</v>
      </c>
      <c r="BD236" s="70">
        <f t="shared" ref="BD236:BD246" si="193">SUM(AQ236:BB236)</f>
        <v>0</v>
      </c>
      <c r="BE236" s="2"/>
      <c r="BF236" s="69">
        <f t="shared" ref="BF236:CC236" si="194">BF235-BF234</f>
        <v>0</v>
      </c>
      <c r="BG236" s="69">
        <f t="shared" si="194"/>
        <v>0</v>
      </c>
      <c r="BH236" s="69">
        <f t="shared" si="194"/>
        <v>0</v>
      </c>
      <c r="BI236" s="69">
        <f t="shared" si="194"/>
        <v>0</v>
      </c>
      <c r="BJ236" s="69">
        <f t="shared" si="194"/>
        <v>0</v>
      </c>
      <c r="BK236" s="69">
        <f t="shared" si="194"/>
        <v>0</v>
      </c>
      <c r="BL236" s="69">
        <f t="shared" si="194"/>
        <v>0</v>
      </c>
      <c r="BM236" s="69">
        <f t="shared" si="194"/>
        <v>0</v>
      </c>
      <c r="BN236" s="69">
        <f t="shared" si="194"/>
        <v>0</v>
      </c>
      <c r="BO236" s="69">
        <f t="shared" si="194"/>
        <v>0</v>
      </c>
      <c r="BP236" s="69">
        <f t="shared" si="194"/>
        <v>0</v>
      </c>
      <c r="BQ236" s="69">
        <f t="shared" si="194"/>
        <v>0</v>
      </c>
      <c r="BR236" s="69">
        <f t="shared" si="194"/>
        <v>0</v>
      </c>
      <c r="BS236" s="69">
        <f t="shared" si="194"/>
        <v>0</v>
      </c>
      <c r="BT236" s="69">
        <f t="shared" si="194"/>
        <v>0</v>
      </c>
      <c r="BU236" s="69">
        <f t="shared" si="194"/>
        <v>0</v>
      </c>
      <c r="BV236" s="69">
        <f t="shared" si="194"/>
        <v>0</v>
      </c>
      <c r="BW236" s="69">
        <f t="shared" si="194"/>
        <v>0</v>
      </c>
      <c r="BX236" s="69">
        <f t="shared" si="194"/>
        <v>0</v>
      </c>
      <c r="BY236" s="69">
        <f t="shared" si="194"/>
        <v>0</v>
      </c>
      <c r="BZ236" s="69">
        <f t="shared" si="194"/>
        <v>0</v>
      </c>
      <c r="CA236" s="69">
        <f t="shared" si="194"/>
        <v>0</v>
      </c>
      <c r="CB236" s="69">
        <f t="shared" si="194"/>
        <v>0</v>
      </c>
      <c r="CC236" s="69">
        <f t="shared" si="194"/>
        <v>0</v>
      </c>
      <c r="CD236" s="70">
        <f t="shared" ref="CD236:CD246" si="195">SUM(BF236:BQ236)</f>
        <v>0</v>
      </c>
      <c r="CE236" s="70">
        <f t="shared" ref="CE236:CE246" si="196">SUM(BR236:CC236)</f>
        <v>0</v>
      </c>
      <c r="CF236" s="2"/>
      <c r="CG236" s="69">
        <f t="shared" ref="CG236:DD236" si="197">CG235-CG234</f>
        <v>0</v>
      </c>
      <c r="CH236" s="69">
        <f t="shared" si="197"/>
        <v>0</v>
      </c>
      <c r="CI236" s="69">
        <f t="shared" si="197"/>
        <v>0</v>
      </c>
      <c r="CJ236" s="69">
        <f t="shared" si="197"/>
        <v>0</v>
      </c>
      <c r="CK236" s="69">
        <f t="shared" si="197"/>
        <v>0</v>
      </c>
      <c r="CL236" s="69">
        <f t="shared" si="197"/>
        <v>0</v>
      </c>
      <c r="CM236" s="69">
        <f t="shared" si="197"/>
        <v>0</v>
      </c>
      <c r="CN236" s="69">
        <f t="shared" si="197"/>
        <v>0</v>
      </c>
      <c r="CO236" s="69">
        <f t="shared" si="197"/>
        <v>0</v>
      </c>
      <c r="CP236" s="69">
        <f t="shared" si="197"/>
        <v>0</v>
      </c>
      <c r="CQ236" s="69">
        <f t="shared" si="197"/>
        <v>0</v>
      </c>
      <c r="CR236" s="69">
        <f t="shared" si="197"/>
        <v>0</v>
      </c>
      <c r="CS236" s="69">
        <f t="shared" si="197"/>
        <v>0</v>
      </c>
      <c r="CT236" s="69">
        <f t="shared" si="197"/>
        <v>0</v>
      </c>
      <c r="CU236" s="69">
        <f t="shared" si="197"/>
        <v>0</v>
      </c>
      <c r="CV236" s="69">
        <f t="shared" si="197"/>
        <v>0</v>
      </c>
      <c r="CW236" s="69">
        <f t="shared" si="197"/>
        <v>0</v>
      </c>
      <c r="CX236" s="69">
        <f t="shared" si="197"/>
        <v>0</v>
      </c>
      <c r="CY236" s="69">
        <f t="shared" si="197"/>
        <v>0</v>
      </c>
      <c r="CZ236" s="69">
        <f t="shared" si="197"/>
        <v>0</v>
      </c>
      <c r="DA236" s="69">
        <f t="shared" si="197"/>
        <v>0</v>
      </c>
      <c r="DB236" s="69">
        <f t="shared" si="197"/>
        <v>0</v>
      </c>
      <c r="DC236" s="69">
        <f t="shared" si="197"/>
        <v>0</v>
      </c>
      <c r="DD236" s="69">
        <f t="shared" si="197"/>
        <v>0</v>
      </c>
      <c r="DE236" s="70">
        <f t="shared" ref="DE236:DE246" si="198">SUM(CG236:CR236)</f>
        <v>0</v>
      </c>
      <c r="DF236" s="70">
        <f t="shared" ref="DF236:DF246" si="199">SUM(CS236:DD236)</f>
        <v>0</v>
      </c>
      <c r="DG236"/>
      <c r="DH236"/>
    </row>
    <row r="237" spans="1:112" hidden="1" x14ac:dyDescent="0.2">
      <c r="A237" s="2"/>
      <c r="B237" s="35" t="s">
        <v>159</v>
      </c>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69">
        <f t="shared" ref="AE237:BB237" si="200">-AE223+AE226-AE229+AE232+AE236</f>
        <v>0</v>
      </c>
      <c r="AF237" s="69">
        <f t="shared" si="200"/>
        <v>0</v>
      </c>
      <c r="AG237" s="69">
        <f t="shared" si="200"/>
        <v>0</v>
      </c>
      <c r="AH237" s="69">
        <f t="shared" si="200"/>
        <v>0</v>
      </c>
      <c r="AI237" s="69">
        <f t="shared" si="200"/>
        <v>0</v>
      </c>
      <c r="AJ237" s="69">
        <f t="shared" si="200"/>
        <v>0</v>
      </c>
      <c r="AK237" s="69">
        <f t="shared" si="200"/>
        <v>0</v>
      </c>
      <c r="AL237" s="69">
        <f t="shared" si="200"/>
        <v>0</v>
      </c>
      <c r="AM237" s="69">
        <f t="shared" si="200"/>
        <v>0</v>
      </c>
      <c r="AN237" s="69">
        <f t="shared" si="200"/>
        <v>0</v>
      </c>
      <c r="AO237" s="69">
        <f t="shared" si="200"/>
        <v>0</v>
      </c>
      <c r="AP237" s="69">
        <f t="shared" si="200"/>
        <v>0</v>
      </c>
      <c r="AQ237" s="69">
        <f t="shared" si="200"/>
        <v>0</v>
      </c>
      <c r="AR237" s="69">
        <f t="shared" si="200"/>
        <v>0</v>
      </c>
      <c r="AS237" s="69">
        <f t="shared" si="200"/>
        <v>0</v>
      </c>
      <c r="AT237" s="69">
        <f t="shared" si="200"/>
        <v>0</v>
      </c>
      <c r="AU237" s="69">
        <f t="shared" si="200"/>
        <v>0</v>
      </c>
      <c r="AV237" s="69">
        <f t="shared" si="200"/>
        <v>0</v>
      </c>
      <c r="AW237" s="69">
        <f t="shared" si="200"/>
        <v>0</v>
      </c>
      <c r="AX237" s="69">
        <f t="shared" si="200"/>
        <v>0</v>
      </c>
      <c r="AY237" s="69">
        <f t="shared" si="200"/>
        <v>0</v>
      </c>
      <c r="AZ237" s="69">
        <f t="shared" si="200"/>
        <v>0</v>
      </c>
      <c r="BA237" s="69">
        <f t="shared" si="200"/>
        <v>0</v>
      </c>
      <c r="BB237" s="69">
        <f t="shared" si="200"/>
        <v>0</v>
      </c>
      <c r="BC237" s="70">
        <f t="shared" si="192"/>
        <v>0</v>
      </c>
      <c r="BD237" s="70">
        <f t="shared" si="193"/>
        <v>0</v>
      </c>
      <c r="BE237" s="2"/>
      <c r="BF237" s="69">
        <f t="shared" ref="BF237:CC237" si="201">-BF223+BF226-BF229+BF232+BF236</f>
        <v>0</v>
      </c>
      <c r="BG237" s="69">
        <f t="shared" si="201"/>
        <v>0</v>
      </c>
      <c r="BH237" s="69">
        <f t="shared" si="201"/>
        <v>0</v>
      </c>
      <c r="BI237" s="69">
        <f t="shared" si="201"/>
        <v>0</v>
      </c>
      <c r="BJ237" s="69">
        <f t="shared" si="201"/>
        <v>0</v>
      </c>
      <c r="BK237" s="69">
        <f t="shared" si="201"/>
        <v>0</v>
      </c>
      <c r="BL237" s="69">
        <f t="shared" si="201"/>
        <v>0</v>
      </c>
      <c r="BM237" s="69">
        <f t="shared" si="201"/>
        <v>0</v>
      </c>
      <c r="BN237" s="69">
        <f t="shared" si="201"/>
        <v>0</v>
      </c>
      <c r="BO237" s="69">
        <f t="shared" si="201"/>
        <v>0</v>
      </c>
      <c r="BP237" s="69">
        <f t="shared" si="201"/>
        <v>0</v>
      </c>
      <c r="BQ237" s="69">
        <f t="shared" si="201"/>
        <v>0</v>
      </c>
      <c r="BR237" s="69">
        <f t="shared" si="201"/>
        <v>0</v>
      </c>
      <c r="BS237" s="69">
        <f t="shared" si="201"/>
        <v>0</v>
      </c>
      <c r="BT237" s="69">
        <f t="shared" si="201"/>
        <v>0</v>
      </c>
      <c r="BU237" s="69">
        <f t="shared" si="201"/>
        <v>0</v>
      </c>
      <c r="BV237" s="69">
        <f t="shared" si="201"/>
        <v>0</v>
      </c>
      <c r="BW237" s="69">
        <f t="shared" si="201"/>
        <v>0</v>
      </c>
      <c r="BX237" s="69">
        <f t="shared" si="201"/>
        <v>0</v>
      </c>
      <c r="BY237" s="69">
        <f t="shared" si="201"/>
        <v>0</v>
      </c>
      <c r="BZ237" s="69">
        <f t="shared" si="201"/>
        <v>0</v>
      </c>
      <c r="CA237" s="69">
        <f t="shared" si="201"/>
        <v>0</v>
      </c>
      <c r="CB237" s="69">
        <f t="shared" si="201"/>
        <v>0</v>
      </c>
      <c r="CC237" s="69">
        <f t="shared" si="201"/>
        <v>0</v>
      </c>
      <c r="CD237" s="70">
        <f t="shared" si="195"/>
        <v>0</v>
      </c>
      <c r="CE237" s="70">
        <f t="shared" si="196"/>
        <v>0</v>
      </c>
      <c r="CF237" s="2"/>
      <c r="CG237" s="69">
        <f t="shared" ref="CG237:DD237" si="202">-CG223+CG226-CG229+CG232+CG236</f>
        <v>0</v>
      </c>
      <c r="CH237" s="69">
        <f t="shared" si="202"/>
        <v>0</v>
      </c>
      <c r="CI237" s="69">
        <f t="shared" si="202"/>
        <v>0</v>
      </c>
      <c r="CJ237" s="69">
        <f t="shared" si="202"/>
        <v>0</v>
      </c>
      <c r="CK237" s="69">
        <f t="shared" si="202"/>
        <v>0</v>
      </c>
      <c r="CL237" s="69">
        <f t="shared" si="202"/>
        <v>0</v>
      </c>
      <c r="CM237" s="69">
        <f t="shared" si="202"/>
        <v>0</v>
      </c>
      <c r="CN237" s="69">
        <f t="shared" si="202"/>
        <v>0</v>
      </c>
      <c r="CO237" s="69">
        <f t="shared" si="202"/>
        <v>0</v>
      </c>
      <c r="CP237" s="69">
        <f t="shared" si="202"/>
        <v>0</v>
      </c>
      <c r="CQ237" s="69">
        <f t="shared" si="202"/>
        <v>0</v>
      </c>
      <c r="CR237" s="69">
        <f t="shared" si="202"/>
        <v>0</v>
      </c>
      <c r="CS237" s="69">
        <f t="shared" si="202"/>
        <v>0</v>
      </c>
      <c r="CT237" s="69">
        <f t="shared" si="202"/>
        <v>0</v>
      </c>
      <c r="CU237" s="69">
        <f t="shared" si="202"/>
        <v>0</v>
      </c>
      <c r="CV237" s="69">
        <f t="shared" si="202"/>
        <v>0</v>
      </c>
      <c r="CW237" s="69">
        <f t="shared" si="202"/>
        <v>0</v>
      </c>
      <c r="CX237" s="69">
        <f t="shared" si="202"/>
        <v>0</v>
      </c>
      <c r="CY237" s="69">
        <f t="shared" si="202"/>
        <v>0</v>
      </c>
      <c r="CZ237" s="69">
        <f t="shared" si="202"/>
        <v>0</v>
      </c>
      <c r="DA237" s="69">
        <f t="shared" si="202"/>
        <v>0</v>
      </c>
      <c r="DB237" s="69">
        <f t="shared" si="202"/>
        <v>0</v>
      </c>
      <c r="DC237" s="69">
        <f t="shared" si="202"/>
        <v>0</v>
      </c>
      <c r="DD237" s="69">
        <f t="shared" si="202"/>
        <v>0</v>
      </c>
      <c r="DE237" s="70">
        <f t="shared" si="198"/>
        <v>0</v>
      </c>
      <c r="DF237" s="70">
        <f t="shared" si="199"/>
        <v>0</v>
      </c>
      <c r="DG237"/>
      <c r="DH237"/>
    </row>
    <row r="238" spans="1:112" hidden="1" x14ac:dyDescent="0.2">
      <c r="A238" s="2"/>
      <c r="B238" s="35" t="s">
        <v>160</v>
      </c>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70">
        <f t="shared" ref="AE238:BB238" si="203">AE219+AE213+AE237</f>
        <v>0</v>
      </c>
      <c r="AF238" s="70">
        <f t="shared" si="203"/>
        <v>0</v>
      </c>
      <c r="AG238" s="70">
        <f t="shared" si="203"/>
        <v>0</v>
      </c>
      <c r="AH238" s="70">
        <f t="shared" si="203"/>
        <v>0</v>
      </c>
      <c r="AI238" s="70">
        <f t="shared" si="203"/>
        <v>0</v>
      </c>
      <c r="AJ238" s="70">
        <f t="shared" si="203"/>
        <v>0</v>
      </c>
      <c r="AK238" s="70">
        <f t="shared" si="203"/>
        <v>0</v>
      </c>
      <c r="AL238" s="70">
        <f t="shared" si="203"/>
        <v>0</v>
      </c>
      <c r="AM238" s="70">
        <f t="shared" si="203"/>
        <v>0</v>
      </c>
      <c r="AN238" s="70">
        <f t="shared" si="203"/>
        <v>0</v>
      </c>
      <c r="AO238" s="70">
        <f t="shared" si="203"/>
        <v>0</v>
      </c>
      <c r="AP238" s="70">
        <f t="shared" si="203"/>
        <v>0</v>
      </c>
      <c r="AQ238" s="70">
        <f t="shared" si="203"/>
        <v>0</v>
      </c>
      <c r="AR238" s="70">
        <f t="shared" si="203"/>
        <v>0</v>
      </c>
      <c r="AS238" s="70">
        <f t="shared" si="203"/>
        <v>0</v>
      </c>
      <c r="AT238" s="70">
        <f t="shared" si="203"/>
        <v>0</v>
      </c>
      <c r="AU238" s="70">
        <f t="shared" si="203"/>
        <v>0</v>
      </c>
      <c r="AV238" s="70">
        <f t="shared" si="203"/>
        <v>0</v>
      </c>
      <c r="AW238" s="70">
        <f t="shared" si="203"/>
        <v>0</v>
      </c>
      <c r="AX238" s="70">
        <f t="shared" si="203"/>
        <v>0</v>
      </c>
      <c r="AY238" s="70">
        <f t="shared" si="203"/>
        <v>0</v>
      </c>
      <c r="AZ238" s="70">
        <f t="shared" si="203"/>
        <v>0</v>
      </c>
      <c r="BA238" s="70">
        <f t="shared" si="203"/>
        <v>0</v>
      </c>
      <c r="BB238" s="70">
        <f t="shared" si="203"/>
        <v>0</v>
      </c>
      <c r="BC238" s="70">
        <f t="shared" si="192"/>
        <v>0</v>
      </c>
      <c r="BD238" s="70">
        <f t="shared" si="193"/>
        <v>0</v>
      </c>
      <c r="BE238" s="2"/>
      <c r="BF238" s="70">
        <f t="shared" ref="BF238:CC238" si="204">BF219+BF213+BF237</f>
        <v>0</v>
      </c>
      <c r="BG238" s="70">
        <f t="shared" si="204"/>
        <v>0</v>
      </c>
      <c r="BH238" s="70">
        <f t="shared" si="204"/>
        <v>0</v>
      </c>
      <c r="BI238" s="70">
        <f t="shared" si="204"/>
        <v>0</v>
      </c>
      <c r="BJ238" s="70">
        <f t="shared" si="204"/>
        <v>0</v>
      </c>
      <c r="BK238" s="70">
        <f t="shared" si="204"/>
        <v>0</v>
      </c>
      <c r="BL238" s="70">
        <f t="shared" si="204"/>
        <v>0</v>
      </c>
      <c r="BM238" s="70">
        <f t="shared" si="204"/>
        <v>0</v>
      </c>
      <c r="BN238" s="70">
        <f t="shared" si="204"/>
        <v>0</v>
      </c>
      <c r="BO238" s="70">
        <f t="shared" si="204"/>
        <v>0</v>
      </c>
      <c r="BP238" s="70">
        <f t="shared" si="204"/>
        <v>0</v>
      </c>
      <c r="BQ238" s="70">
        <f t="shared" si="204"/>
        <v>0</v>
      </c>
      <c r="BR238" s="70">
        <f t="shared" si="204"/>
        <v>0</v>
      </c>
      <c r="BS238" s="70">
        <f t="shared" si="204"/>
        <v>0</v>
      </c>
      <c r="BT238" s="70">
        <f t="shared" si="204"/>
        <v>0</v>
      </c>
      <c r="BU238" s="70">
        <f t="shared" si="204"/>
        <v>0</v>
      </c>
      <c r="BV238" s="70">
        <f t="shared" si="204"/>
        <v>0</v>
      </c>
      <c r="BW238" s="70">
        <f t="shared" si="204"/>
        <v>0</v>
      </c>
      <c r="BX238" s="70">
        <f t="shared" si="204"/>
        <v>0</v>
      </c>
      <c r="BY238" s="70">
        <f t="shared" si="204"/>
        <v>0</v>
      </c>
      <c r="BZ238" s="70">
        <f t="shared" si="204"/>
        <v>0</v>
      </c>
      <c r="CA238" s="70">
        <f t="shared" si="204"/>
        <v>0</v>
      </c>
      <c r="CB238" s="70">
        <f t="shared" si="204"/>
        <v>0</v>
      </c>
      <c r="CC238" s="70">
        <f t="shared" si="204"/>
        <v>0</v>
      </c>
      <c r="CD238" s="70">
        <f t="shared" si="195"/>
        <v>0</v>
      </c>
      <c r="CE238" s="70">
        <f t="shared" si="196"/>
        <v>0</v>
      </c>
      <c r="CF238" s="2"/>
      <c r="CG238" s="70">
        <f t="shared" ref="CG238:DD238" si="205">CG219+CG213+CG237</f>
        <v>0</v>
      </c>
      <c r="CH238" s="70">
        <f t="shared" si="205"/>
        <v>0</v>
      </c>
      <c r="CI238" s="70">
        <f t="shared" si="205"/>
        <v>0</v>
      </c>
      <c r="CJ238" s="70">
        <f t="shared" si="205"/>
        <v>0</v>
      </c>
      <c r="CK238" s="70">
        <f t="shared" si="205"/>
        <v>0</v>
      </c>
      <c r="CL238" s="70">
        <f t="shared" si="205"/>
        <v>0</v>
      </c>
      <c r="CM238" s="70">
        <f t="shared" si="205"/>
        <v>0</v>
      </c>
      <c r="CN238" s="70">
        <f t="shared" si="205"/>
        <v>0</v>
      </c>
      <c r="CO238" s="70">
        <f t="shared" si="205"/>
        <v>0</v>
      </c>
      <c r="CP238" s="70">
        <f t="shared" si="205"/>
        <v>0</v>
      </c>
      <c r="CQ238" s="70">
        <f t="shared" si="205"/>
        <v>0</v>
      </c>
      <c r="CR238" s="70">
        <f t="shared" si="205"/>
        <v>0</v>
      </c>
      <c r="CS238" s="70">
        <f t="shared" si="205"/>
        <v>0</v>
      </c>
      <c r="CT238" s="70">
        <f t="shared" si="205"/>
        <v>0</v>
      </c>
      <c r="CU238" s="70">
        <f t="shared" si="205"/>
        <v>0</v>
      </c>
      <c r="CV238" s="70">
        <f t="shared" si="205"/>
        <v>0</v>
      </c>
      <c r="CW238" s="70">
        <f t="shared" si="205"/>
        <v>0</v>
      </c>
      <c r="CX238" s="70">
        <f t="shared" si="205"/>
        <v>0</v>
      </c>
      <c r="CY238" s="70">
        <f t="shared" si="205"/>
        <v>0</v>
      </c>
      <c r="CZ238" s="70">
        <f t="shared" si="205"/>
        <v>0</v>
      </c>
      <c r="DA238" s="70">
        <f t="shared" si="205"/>
        <v>0</v>
      </c>
      <c r="DB238" s="70">
        <f t="shared" si="205"/>
        <v>0</v>
      </c>
      <c r="DC238" s="70">
        <f t="shared" si="205"/>
        <v>0</v>
      </c>
      <c r="DD238" s="70">
        <f t="shared" si="205"/>
        <v>0</v>
      </c>
      <c r="DE238" s="70">
        <f t="shared" si="198"/>
        <v>0</v>
      </c>
      <c r="DF238" s="70">
        <f t="shared" si="199"/>
        <v>0</v>
      </c>
      <c r="DG238"/>
      <c r="DH238"/>
    </row>
    <row r="239" spans="1:112" hidden="1" x14ac:dyDescent="0.2">
      <c r="A239" s="2"/>
      <c r="B239" s="35" t="s">
        <v>161</v>
      </c>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69">
        <f>INDEX(inp_capex,1)</f>
        <v>0</v>
      </c>
      <c r="AF239" s="69">
        <f>INDEX(inp_capex,2)</f>
        <v>0</v>
      </c>
      <c r="AG239" s="69">
        <f>INDEX(inp_capex,3)</f>
        <v>0</v>
      </c>
      <c r="AH239" s="69">
        <f>INDEX(inp_capex,4)</f>
        <v>0</v>
      </c>
      <c r="AI239" s="69">
        <f>INDEX(inp_capex,5)</f>
        <v>0</v>
      </c>
      <c r="AJ239" s="69">
        <f>INDEX(inp_capex,6)</f>
        <v>0</v>
      </c>
      <c r="AK239" s="69">
        <f>INDEX(inp_capex,7)</f>
        <v>0</v>
      </c>
      <c r="AL239" s="69">
        <f>INDEX(inp_capex,8)</f>
        <v>0</v>
      </c>
      <c r="AM239" s="69">
        <f>INDEX(inp_capex,9)</f>
        <v>0</v>
      </c>
      <c r="AN239" s="69">
        <f>INDEX(inp_capex,10)</f>
        <v>0</v>
      </c>
      <c r="AO239" s="69">
        <f>INDEX(inp_capex,11)</f>
        <v>0</v>
      </c>
      <c r="AP239" s="69">
        <f>INDEX(inp_capex,12)</f>
        <v>0</v>
      </c>
      <c r="AQ239" s="69">
        <f>INDEX(inp_capex,13)</f>
        <v>0</v>
      </c>
      <c r="AR239" s="69">
        <f>INDEX(inp_capex,14)</f>
        <v>0</v>
      </c>
      <c r="AS239" s="69">
        <f>INDEX(inp_capex,15)</f>
        <v>0</v>
      </c>
      <c r="AT239" s="69">
        <f>INDEX(inp_capex,16)</f>
        <v>0</v>
      </c>
      <c r="AU239" s="69">
        <f>INDEX(inp_capex,17)</f>
        <v>0</v>
      </c>
      <c r="AV239" s="69">
        <f>INDEX(inp_capex,18)</f>
        <v>0</v>
      </c>
      <c r="AW239" s="69">
        <f>INDEX(inp_capex,19)</f>
        <v>0</v>
      </c>
      <c r="AX239" s="69">
        <f>INDEX(inp_capex,20)</f>
        <v>0</v>
      </c>
      <c r="AY239" s="69">
        <f>INDEX(inp_capex,21)</f>
        <v>0</v>
      </c>
      <c r="AZ239" s="69">
        <f>INDEX(inp_capex,22)</f>
        <v>0</v>
      </c>
      <c r="BA239" s="69">
        <f>INDEX(inp_capex,23)</f>
        <v>0</v>
      </c>
      <c r="BB239" s="69">
        <f>INDEX(inp_capex,24)</f>
        <v>0</v>
      </c>
      <c r="BC239" s="70">
        <f t="shared" si="192"/>
        <v>0</v>
      </c>
      <c r="BD239" s="70">
        <f t="shared" si="193"/>
        <v>0</v>
      </c>
      <c r="BE239" s="2"/>
      <c r="BF239" s="69">
        <f>INDEX(inp_capex,1)</f>
        <v>0</v>
      </c>
      <c r="BG239" s="69">
        <f>INDEX(inp_capex,2)</f>
        <v>0</v>
      </c>
      <c r="BH239" s="69">
        <f>INDEX(inp_capex,3)</f>
        <v>0</v>
      </c>
      <c r="BI239" s="69">
        <f>INDEX(inp_capex,4)</f>
        <v>0</v>
      </c>
      <c r="BJ239" s="69">
        <f>INDEX(inp_capex,5)</f>
        <v>0</v>
      </c>
      <c r="BK239" s="69">
        <f>INDEX(inp_capex,6)</f>
        <v>0</v>
      </c>
      <c r="BL239" s="69">
        <f>INDEX(inp_capex,7)</f>
        <v>0</v>
      </c>
      <c r="BM239" s="69">
        <f>INDEX(inp_capex,8)</f>
        <v>0</v>
      </c>
      <c r="BN239" s="69">
        <f>INDEX(inp_capex,9)</f>
        <v>0</v>
      </c>
      <c r="BO239" s="69">
        <f>INDEX(inp_capex,10)</f>
        <v>0</v>
      </c>
      <c r="BP239" s="69">
        <f>INDEX(inp_capex,11)</f>
        <v>0</v>
      </c>
      <c r="BQ239" s="69">
        <f>INDEX(inp_capex,12)</f>
        <v>0</v>
      </c>
      <c r="BR239" s="69">
        <f>INDEX(inp_capex,13)</f>
        <v>0</v>
      </c>
      <c r="BS239" s="69">
        <f>INDEX(inp_capex,14)</f>
        <v>0</v>
      </c>
      <c r="BT239" s="69">
        <f>INDEX(inp_capex,15)</f>
        <v>0</v>
      </c>
      <c r="BU239" s="69">
        <f>INDEX(inp_capex,16)</f>
        <v>0</v>
      </c>
      <c r="BV239" s="69">
        <f>INDEX(inp_capex,17)</f>
        <v>0</v>
      </c>
      <c r="BW239" s="69">
        <f>INDEX(inp_capex,18)</f>
        <v>0</v>
      </c>
      <c r="BX239" s="69">
        <f>INDEX(inp_capex,19)</f>
        <v>0</v>
      </c>
      <c r="BY239" s="69">
        <f>INDEX(inp_capex,20)</f>
        <v>0</v>
      </c>
      <c r="BZ239" s="69">
        <f>INDEX(inp_capex,21)</f>
        <v>0</v>
      </c>
      <c r="CA239" s="69">
        <f>INDEX(inp_capex,22)</f>
        <v>0</v>
      </c>
      <c r="CB239" s="69">
        <f>INDEX(inp_capex,23)</f>
        <v>0</v>
      </c>
      <c r="CC239" s="69">
        <f>INDEX(inp_capex,24)</f>
        <v>0</v>
      </c>
      <c r="CD239" s="70">
        <f t="shared" si="195"/>
        <v>0</v>
      </c>
      <c r="CE239" s="70">
        <f t="shared" si="196"/>
        <v>0</v>
      </c>
      <c r="CF239" s="2"/>
      <c r="CG239" s="69">
        <f>INDEX(inp_capex,1)</f>
        <v>0</v>
      </c>
      <c r="CH239" s="69">
        <f>INDEX(inp_capex,2)</f>
        <v>0</v>
      </c>
      <c r="CI239" s="69">
        <f>INDEX(inp_capex,3)</f>
        <v>0</v>
      </c>
      <c r="CJ239" s="69">
        <f>INDEX(inp_capex,4)</f>
        <v>0</v>
      </c>
      <c r="CK239" s="69">
        <f>INDEX(inp_capex,5)</f>
        <v>0</v>
      </c>
      <c r="CL239" s="69">
        <f>INDEX(inp_capex,6)</f>
        <v>0</v>
      </c>
      <c r="CM239" s="69">
        <f>INDEX(inp_capex,7)</f>
        <v>0</v>
      </c>
      <c r="CN239" s="69">
        <f>INDEX(inp_capex,8)</f>
        <v>0</v>
      </c>
      <c r="CO239" s="69">
        <f>INDEX(inp_capex,9)</f>
        <v>0</v>
      </c>
      <c r="CP239" s="69">
        <f>INDEX(inp_capex,10)</f>
        <v>0</v>
      </c>
      <c r="CQ239" s="69">
        <f>INDEX(inp_capex,11)</f>
        <v>0</v>
      </c>
      <c r="CR239" s="69">
        <f>INDEX(inp_capex,12)</f>
        <v>0</v>
      </c>
      <c r="CS239" s="69">
        <f>INDEX(inp_capex,13)</f>
        <v>0</v>
      </c>
      <c r="CT239" s="69">
        <f>INDEX(inp_capex,14)</f>
        <v>0</v>
      </c>
      <c r="CU239" s="69">
        <f>INDEX(inp_capex,15)</f>
        <v>0</v>
      </c>
      <c r="CV239" s="69">
        <f>INDEX(inp_capex,16)</f>
        <v>0</v>
      </c>
      <c r="CW239" s="69">
        <f>INDEX(inp_capex,17)</f>
        <v>0</v>
      </c>
      <c r="CX239" s="69">
        <f>INDEX(inp_capex,18)</f>
        <v>0</v>
      </c>
      <c r="CY239" s="69">
        <f>INDEX(inp_capex,19)</f>
        <v>0</v>
      </c>
      <c r="CZ239" s="69">
        <f>INDEX(inp_capex,20)</f>
        <v>0</v>
      </c>
      <c r="DA239" s="69">
        <f>INDEX(inp_capex,21)</f>
        <v>0</v>
      </c>
      <c r="DB239" s="69">
        <f>INDEX(inp_capex,22)</f>
        <v>0</v>
      </c>
      <c r="DC239" s="69">
        <f>INDEX(inp_capex,23)</f>
        <v>0</v>
      </c>
      <c r="DD239" s="69">
        <f>INDEX(inp_capex,24)</f>
        <v>0</v>
      </c>
      <c r="DE239" s="70">
        <f t="shared" si="198"/>
        <v>0</v>
      </c>
      <c r="DF239" s="70">
        <f t="shared" si="199"/>
        <v>0</v>
      </c>
      <c r="DG239"/>
      <c r="DH239"/>
    </row>
    <row r="240" spans="1:112" hidden="1" x14ac:dyDescent="0.2">
      <c r="A240" s="2"/>
      <c r="B240" s="35" t="s">
        <v>162</v>
      </c>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70">
        <f t="shared" ref="AE240:BB240" si="206">-AE239</f>
        <v>0</v>
      </c>
      <c r="AF240" s="70">
        <f t="shared" si="206"/>
        <v>0</v>
      </c>
      <c r="AG240" s="70">
        <f t="shared" si="206"/>
        <v>0</v>
      </c>
      <c r="AH240" s="70">
        <f t="shared" si="206"/>
        <v>0</v>
      </c>
      <c r="AI240" s="70">
        <f t="shared" si="206"/>
        <v>0</v>
      </c>
      <c r="AJ240" s="70">
        <f t="shared" si="206"/>
        <v>0</v>
      </c>
      <c r="AK240" s="70">
        <f t="shared" si="206"/>
        <v>0</v>
      </c>
      <c r="AL240" s="70">
        <f t="shared" si="206"/>
        <v>0</v>
      </c>
      <c r="AM240" s="70">
        <f t="shared" si="206"/>
        <v>0</v>
      </c>
      <c r="AN240" s="70">
        <f t="shared" si="206"/>
        <v>0</v>
      </c>
      <c r="AO240" s="70">
        <f t="shared" si="206"/>
        <v>0</v>
      </c>
      <c r="AP240" s="70">
        <f t="shared" si="206"/>
        <v>0</v>
      </c>
      <c r="AQ240" s="70">
        <f t="shared" si="206"/>
        <v>0</v>
      </c>
      <c r="AR240" s="70">
        <f t="shared" si="206"/>
        <v>0</v>
      </c>
      <c r="AS240" s="70">
        <f t="shared" si="206"/>
        <v>0</v>
      </c>
      <c r="AT240" s="70">
        <f t="shared" si="206"/>
        <v>0</v>
      </c>
      <c r="AU240" s="70">
        <f t="shared" si="206"/>
        <v>0</v>
      </c>
      <c r="AV240" s="70">
        <f t="shared" si="206"/>
        <v>0</v>
      </c>
      <c r="AW240" s="70">
        <f t="shared" si="206"/>
        <v>0</v>
      </c>
      <c r="AX240" s="70">
        <f t="shared" si="206"/>
        <v>0</v>
      </c>
      <c r="AY240" s="70">
        <f t="shared" si="206"/>
        <v>0</v>
      </c>
      <c r="AZ240" s="70">
        <f t="shared" si="206"/>
        <v>0</v>
      </c>
      <c r="BA240" s="70">
        <f t="shared" si="206"/>
        <v>0</v>
      </c>
      <c r="BB240" s="70">
        <f t="shared" si="206"/>
        <v>0</v>
      </c>
      <c r="BC240" s="70">
        <f t="shared" si="192"/>
        <v>0</v>
      </c>
      <c r="BD240" s="70">
        <f t="shared" si="193"/>
        <v>0</v>
      </c>
      <c r="BE240" s="2"/>
      <c r="BF240" s="70">
        <f t="shared" ref="BF240:CC240" si="207">-BF239</f>
        <v>0</v>
      </c>
      <c r="BG240" s="70">
        <f t="shared" si="207"/>
        <v>0</v>
      </c>
      <c r="BH240" s="70">
        <f t="shared" si="207"/>
        <v>0</v>
      </c>
      <c r="BI240" s="70">
        <f t="shared" si="207"/>
        <v>0</v>
      </c>
      <c r="BJ240" s="70">
        <f t="shared" si="207"/>
        <v>0</v>
      </c>
      <c r="BK240" s="70">
        <f t="shared" si="207"/>
        <v>0</v>
      </c>
      <c r="BL240" s="70">
        <f t="shared" si="207"/>
        <v>0</v>
      </c>
      <c r="BM240" s="70">
        <f t="shared" si="207"/>
        <v>0</v>
      </c>
      <c r="BN240" s="70">
        <f t="shared" si="207"/>
        <v>0</v>
      </c>
      <c r="BO240" s="70">
        <f t="shared" si="207"/>
        <v>0</v>
      </c>
      <c r="BP240" s="70">
        <f t="shared" si="207"/>
        <v>0</v>
      </c>
      <c r="BQ240" s="70">
        <f t="shared" si="207"/>
        <v>0</v>
      </c>
      <c r="BR240" s="70">
        <f t="shared" si="207"/>
        <v>0</v>
      </c>
      <c r="BS240" s="70">
        <f t="shared" si="207"/>
        <v>0</v>
      </c>
      <c r="BT240" s="70">
        <f t="shared" si="207"/>
        <v>0</v>
      </c>
      <c r="BU240" s="70">
        <f t="shared" si="207"/>
        <v>0</v>
      </c>
      <c r="BV240" s="70">
        <f t="shared" si="207"/>
        <v>0</v>
      </c>
      <c r="BW240" s="70">
        <f t="shared" si="207"/>
        <v>0</v>
      </c>
      <c r="BX240" s="70">
        <f t="shared" si="207"/>
        <v>0</v>
      </c>
      <c r="BY240" s="70">
        <f t="shared" si="207"/>
        <v>0</v>
      </c>
      <c r="BZ240" s="70">
        <f t="shared" si="207"/>
        <v>0</v>
      </c>
      <c r="CA240" s="70">
        <f t="shared" si="207"/>
        <v>0</v>
      </c>
      <c r="CB240" s="70">
        <f t="shared" si="207"/>
        <v>0</v>
      </c>
      <c r="CC240" s="70">
        <f t="shared" si="207"/>
        <v>0</v>
      </c>
      <c r="CD240" s="70">
        <f t="shared" si="195"/>
        <v>0</v>
      </c>
      <c r="CE240" s="70">
        <f t="shared" si="196"/>
        <v>0</v>
      </c>
      <c r="CF240" s="2"/>
      <c r="CG240" s="70">
        <f t="shared" ref="CG240:DD240" si="208">-CG239</f>
        <v>0</v>
      </c>
      <c r="CH240" s="70">
        <f t="shared" si="208"/>
        <v>0</v>
      </c>
      <c r="CI240" s="70">
        <f t="shared" si="208"/>
        <v>0</v>
      </c>
      <c r="CJ240" s="70">
        <f t="shared" si="208"/>
        <v>0</v>
      </c>
      <c r="CK240" s="70">
        <f t="shared" si="208"/>
        <v>0</v>
      </c>
      <c r="CL240" s="70">
        <f t="shared" si="208"/>
        <v>0</v>
      </c>
      <c r="CM240" s="70">
        <f t="shared" si="208"/>
        <v>0</v>
      </c>
      <c r="CN240" s="70">
        <f t="shared" si="208"/>
        <v>0</v>
      </c>
      <c r="CO240" s="70">
        <f t="shared" si="208"/>
        <v>0</v>
      </c>
      <c r="CP240" s="70">
        <f t="shared" si="208"/>
        <v>0</v>
      </c>
      <c r="CQ240" s="70">
        <f t="shared" si="208"/>
        <v>0</v>
      </c>
      <c r="CR240" s="70">
        <f t="shared" si="208"/>
        <v>0</v>
      </c>
      <c r="CS240" s="70">
        <f t="shared" si="208"/>
        <v>0</v>
      </c>
      <c r="CT240" s="70">
        <f t="shared" si="208"/>
        <v>0</v>
      </c>
      <c r="CU240" s="70">
        <f t="shared" si="208"/>
        <v>0</v>
      </c>
      <c r="CV240" s="70">
        <f t="shared" si="208"/>
        <v>0</v>
      </c>
      <c r="CW240" s="70">
        <f t="shared" si="208"/>
        <v>0</v>
      </c>
      <c r="CX240" s="70">
        <f t="shared" si="208"/>
        <v>0</v>
      </c>
      <c r="CY240" s="70">
        <f t="shared" si="208"/>
        <v>0</v>
      </c>
      <c r="CZ240" s="70">
        <f t="shared" si="208"/>
        <v>0</v>
      </c>
      <c r="DA240" s="70">
        <f t="shared" si="208"/>
        <v>0</v>
      </c>
      <c r="DB240" s="70">
        <f t="shared" si="208"/>
        <v>0</v>
      </c>
      <c r="DC240" s="70">
        <f t="shared" si="208"/>
        <v>0</v>
      </c>
      <c r="DD240" s="70">
        <f t="shared" si="208"/>
        <v>0</v>
      </c>
      <c r="DE240" s="70">
        <f t="shared" si="198"/>
        <v>0</v>
      </c>
      <c r="DF240" s="70">
        <f t="shared" si="199"/>
        <v>0</v>
      </c>
      <c r="DG240"/>
      <c r="DH240"/>
    </row>
    <row r="241" spans="1:112" hidden="1" x14ac:dyDescent="0.2">
      <c r="A241" s="2"/>
      <c r="B241" s="35" t="s">
        <v>163</v>
      </c>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69">
        <f>INDEX(inp_debt_draw,1)</f>
        <v>0</v>
      </c>
      <c r="AF241" s="69">
        <f>INDEX(inp_debt_draw,2)</f>
        <v>0</v>
      </c>
      <c r="AG241" s="69">
        <f>INDEX(inp_debt_draw,3)</f>
        <v>0</v>
      </c>
      <c r="AH241" s="69">
        <f>INDEX(inp_debt_draw,4)</f>
        <v>0</v>
      </c>
      <c r="AI241" s="69">
        <f>INDEX(inp_debt_draw,5)</f>
        <v>0</v>
      </c>
      <c r="AJ241" s="69">
        <f>INDEX(inp_debt_draw,6)</f>
        <v>0</v>
      </c>
      <c r="AK241" s="69">
        <f>INDEX(inp_debt_draw,7)</f>
        <v>0</v>
      </c>
      <c r="AL241" s="69">
        <f>INDEX(inp_debt_draw,8)</f>
        <v>0</v>
      </c>
      <c r="AM241" s="69">
        <f>INDEX(inp_debt_draw,9)</f>
        <v>0</v>
      </c>
      <c r="AN241" s="69">
        <f>INDEX(inp_debt_draw,10)</f>
        <v>0</v>
      </c>
      <c r="AO241" s="69">
        <f>INDEX(inp_debt_draw,11)</f>
        <v>0</v>
      </c>
      <c r="AP241" s="69">
        <f>INDEX(inp_debt_draw,12)</f>
        <v>0</v>
      </c>
      <c r="AQ241" s="69">
        <f>INDEX(inp_debt_draw,13)</f>
        <v>0</v>
      </c>
      <c r="AR241" s="69">
        <f>INDEX(inp_debt_draw,14)</f>
        <v>0</v>
      </c>
      <c r="AS241" s="69">
        <f>INDEX(inp_debt_draw,15)</f>
        <v>0</v>
      </c>
      <c r="AT241" s="69">
        <f>INDEX(inp_debt_draw,16)</f>
        <v>0</v>
      </c>
      <c r="AU241" s="69">
        <f>INDEX(inp_debt_draw,17)</f>
        <v>0</v>
      </c>
      <c r="AV241" s="69">
        <f>INDEX(inp_debt_draw,18)</f>
        <v>0</v>
      </c>
      <c r="AW241" s="69">
        <f>INDEX(inp_debt_draw,19)</f>
        <v>0</v>
      </c>
      <c r="AX241" s="69">
        <f>INDEX(inp_debt_draw,20)</f>
        <v>0</v>
      </c>
      <c r="AY241" s="69">
        <f>INDEX(inp_debt_draw,21)</f>
        <v>0</v>
      </c>
      <c r="AZ241" s="69">
        <f>INDEX(inp_debt_draw,22)</f>
        <v>0</v>
      </c>
      <c r="BA241" s="69">
        <f>INDEX(inp_debt_draw,23)</f>
        <v>0</v>
      </c>
      <c r="BB241" s="69">
        <f>INDEX(inp_debt_draw,24)</f>
        <v>0</v>
      </c>
      <c r="BC241" s="70">
        <f t="shared" si="192"/>
        <v>0</v>
      </c>
      <c r="BD241" s="70">
        <f t="shared" si="193"/>
        <v>0</v>
      </c>
      <c r="BE241" s="2"/>
      <c r="BF241" s="69">
        <f>INDEX(inp_debt_draw,1)</f>
        <v>0</v>
      </c>
      <c r="BG241" s="69">
        <f>INDEX(inp_debt_draw,2)</f>
        <v>0</v>
      </c>
      <c r="BH241" s="69">
        <f>INDEX(inp_debt_draw,3)</f>
        <v>0</v>
      </c>
      <c r="BI241" s="69">
        <f>INDEX(inp_debt_draw,4)</f>
        <v>0</v>
      </c>
      <c r="BJ241" s="69">
        <f>INDEX(inp_debt_draw,5)</f>
        <v>0</v>
      </c>
      <c r="BK241" s="69">
        <f>INDEX(inp_debt_draw,6)</f>
        <v>0</v>
      </c>
      <c r="BL241" s="69">
        <f>INDEX(inp_debt_draw,7)</f>
        <v>0</v>
      </c>
      <c r="BM241" s="69">
        <f>INDEX(inp_debt_draw,8)</f>
        <v>0</v>
      </c>
      <c r="BN241" s="69">
        <f>INDEX(inp_debt_draw,9)</f>
        <v>0</v>
      </c>
      <c r="BO241" s="69">
        <f>INDEX(inp_debt_draw,10)</f>
        <v>0</v>
      </c>
      <c r="BP241" s="69">
        <f>INDEX(inp_debt_draw,11)</f>
        <v>0</v>
      </c>
      <c r="BQ241" s="69">
        <f>INDEX(inp_debt_draw,12)</f>
        <v>0</v>
      </c>
      <c r="BR241" s="69">
        <f>INDEX(inp_debt_draw,13)</f>
        <v>0</v>
      </c>
      <c r="BS241" s="69">
        <f>INDEX(inp_debt_draw,14)</f>
        <v>0</v>
      </c>
      <c r="BT241" s="69">
        <f>INDEX(inp_debt_draw,15)</f>
        <v>0</v>
      </c>
      <c r="BU241" s="69">
        <f>INDEX(inp_debt_draw,16)</f>
        <v>0</v>
      </c>
      <c r="BV241" s="69">
        <f>INDEX(inp_debt_draw,17)</f>
        <v>0</v>
      </c>
      <c r="BW241" s="69">
        <f>INDEX(inp_debt_draw,18)</f>
        <v>0</v>
      </c>
      <c r="BX241" s="69">
        <f>INDEX(inp_debt_draw,19)</f>
        <v>0</v>
      </c>
      <c r="BY241" s="69">
        <f>INDEX(inp_debt_draw,20)</f>
        <v>0</v>
      </c>
      <c r="BZ241" s="69">
        <f>INDEX(inp_debt_draw,21)</f>
        <v>0</v>
      </c>
      <c r="CA241" s="69">
        <f>INDEX(inp_debt_draw,22)</f>
        <v>0</v>
      </c>
      <c r="CB241" s="69">
        <f>INDEX(inp_debt_draw,23)</f>
        <v>0</v>
      </c>
      <c r="CC241" s="69">
        <f>INDEX(inp_debt_draw,24)</f>
        <v>0</v>
      </c>
      <c r="CD241" s="70">
        <f t="shared" si="195"/>
        <v>0</v>
      </c>
      <c r="CE241" s="70">
        <f t="shared" si="196"/>
        <v>0</v>
      </c>
      <c r="CF241" s="2"/>
      <c r="CG241" s="69">
        <f>INDEX(inp_debt_draw,1)</f>
        <v>0</v>
      </c>
      <c r="CH241" s="69">
        <f>INDEX(inp_debt_draw,2)</f>
        <v>0</v>
      </c>
      <c r="CI241" s="69">
        <f>INDEX(inp_debt_draw,3)</f>
        <v>0</v>
      </c>
      <c r="CJ241" s="69">
        <f>INDEX(inp_debt_draw,4)</f>
        <v>0</v>
      </c>
      <c r="CK241" s="69">
        <f>INDEX(inp_debt_draw,5)</f>
        <v>0</v>
      </c>
      <c r="CL241" s="69">
        <f>INDEX(inp_debt_draw,6)</f>
        <v>0</v>
      </c>
      <c r="CM241" s="69">
        <f>INDEX(inp_debt_draw,7)</f>
        <v>0</v>
      </c>
      <c r="CN241" s="69">
        <f>INDEX(inp_debt_draw,8)</f>
        <v>0</v>
      </c>
      <c r="CO241" s="69">
        <f>INDEX(inp_debt_draw,9)</f>
        <v>0</v>
      </c>
      <c r="CP241" s="69">
        <f>INDEX(inp_debt_draw,10)</f>
        <v>0</v>
      </c>
      <c r="CQ241" s="69">
        <f>INDEX(inp_debt_draw,11)</f>
        <v>0</v>
      </c>
      <c r="CR241" s="69">
        <f>INDEX(inp_debt_draw,12)</f>
        <v>0</v>
      </c>
      <c r="CS241" s="69">
        <f>INDEX(inp_debt_draw,13)</f>
        <v>0</v>
      </c>
      <c r="CT241" s="69">
        <f>INDEX(inp_debt_draw,14)</f>
        <v>0</v>
      </c>
      <c r="CU241" s="69">
        <f>INDEX(inp_debt_draw,15)</f>
        <v>0</v>
      </c>
      <c r="CV241" s="69">
        <f>INDEX(inp_debt_draw,16)</f>
        <v>0</v>
      </c>
      <c r="CW241" s="69">
        <f>INDEX(inp_debt_draw,17)</f>
        <v>0</v>
      </c>
      <c r="CX241" s="69">
        <f>INDEX(inp_debt_draw,18)</f>
        <v>0</v>
      </c>
      <c r="CY241" s="69">
        <f>INDEX(inp_debt_draw,19)</f>
        <v>0</v>
      </c>
      <c r="CZ241" s="69">
        <f>INDEX(inp_debt_draw,20)</f>
        <v>0</v>
      </c>
      <c r="DA241" s="69">
        <f>INDEX(inp_debt_draw,21)</f>
        <v>0</v>
      </c>
      <c r="DB241" s="69">
        <f>INDEX(inp_debt_draw,22)</f>
        <v>0</v>
      </c>
      <c r="DC241" s="69">
        <f>INDEX(inp_debt_draw,23)</f>
        <v>0</v>
      </c>
      <c r="DD241" s="69">
        <f>INDEX(inp_debt_draw,24)</f>
        <v>0</v>
      </c>
      <c r="DE241" s="70">
        <f t="shared" si="198"/>
        <v>0</v>
      </c>
      <c r="DF241" s="70">
        <f t="shared" si="199"/>
        <v>0</v>
      </c>
      <c r="DG241"/>
      <c r="DH241"/>
    </row>
    <row r="242" spans="1:112" hidden="1" x14ac:dyDescent="0.2">
      <c r="A242" s="2"/>
      <c r="B242" s="35" t="s">
        <v>164</v>
      </c>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69">
        <f>INDEX(inp_debt_repay,1)</f>
        <v>0</v>
      </c>
      <c r="AF242" s="69">
        <f>INDEX(inp_debt_repay,2)</f>
        <v>0</v>
      </c>
      <c r="AG242" s="69">
        <f>INDEX(inp_debt_repay,3)</f>
        <v>0</v>
      </c>
      <c r="AH242" s="69">
        <f>INDEX(inp_debt_repay,4)</f>
        <v>0</v>
      </c>
      <c r="AI242" s="69">
        <f>INDEX(inp_debt_repay,5)</f>
        <v>0</v>
      </c>
      <c r="AJ242" s="69">
        <f>INDEX(inp_debt_repay,6)</f>
        <v>0</v>
      </c>
      <c r="AK242" s="69">
        <f>INDEX(inp_debt_repay,7)</f>
        <v>0</v>
      </c>
      <c r="AL242" s="69">
        <f>INDEX(inp_debt_repay,8)</f>
        <v>0</v>
      </c>
      <c r="AM242" s="69">
        <f>INDEX(inp_debt_repay,9)</f>
        <v>0</v>
      </c>
      <c r="AN242" s="69">
        <f>INDEX(inp_debt_repay,10)</f>
        <v>0</v>
      </c>
      <c r="AO242" s="69">
        <f>INDEX(inp_debt_repay,11)</f>
        <v>0</v>
      </c>
      <c r="AP242" s="69">
        <f>INDEX(inp_debt_repay,12)</f>
        <v>0</v>
      </c>
      <c r="AQ242" s="69">
        <f>INDEX(inp_debt_repay,13)</f>
        <v>0</v>
      </c>
      <c r="AR242" s="69">
        <f>INDEX(inp_debt_repay,14)</f>
        <v>0</v>
      </c>
      <c r="AS242" s="69">
        <f>INDEX(inp_debt_repay,15)</f>
        <v>0</v>
      </c>
      <c r="AT242" s="69">
        <f>INDEX(inp_debt_repay,16)</f>
        <v>0</v>
      </c>
      <c r="AU242" s="69">
        <f>INDEX(inp_debt_repay,17)</f>
        <v>0</v>
      </c>
      <c r="AV242" s="69">
        <f>INDEX(inp_debt_repay,18)</f>
        <v>0</v>
      </c>
      <c r="AW242" s="69">
        <f>INDEX(inp_debt_repay,19)</f>
        <v>0</v>
      </c>
      <c r="AX242" s="69">
        <f>INDEX(inp_debt_repay,20)</f>
        <v>0</v>
      </c>
      <c r="AY242" s="69">
        <f>INDEX(inp_debt_repay,21)</f>
        <v>0</v>
      </c>
      <c r="AZ242" s="69">
        <f>INDEX(inp_debt_repay,22)</f>
        <v>0</v>
      </c>
      <c r="BA242" s="69">
        <f>INDEX(inp_debt_repay,23)</f>
        <v>0</v>
      </c>
      <c r="BB242" s="69">
        <f>INDEX(inp_debt_repay,24)</f>
        <v>0</v>
      </c>
      <c r="BC242" s="70">
        <f t="shared" si="192"/>
        <v>0</v>
      </c>
      <c r="BD242" s="70">
        <f t="shared" si="193"/>
        <v>0</v>
      </c>
      <c r="BE242" s="2"/>
      <c r="BF242" s="69">
        <f>INDEX(inp_debt_repay,1)</f>
        <v>0</v>
      </c>
      <c r="BG242" s="69">
        <f>INDEX(inp_debt_repay,2)</f>
        <v>0</v>
      </c>
      <c r="BH242" s="69">
        <f>INDEX(inp_debt_repay,3)</f>
        <v>0</v>
      </c>
      <c r="BI242" s="69">
        <f>INDEX(inp_debt_repay,4)</f>
        <v>0</v>
      </c>
      <c r="BJ242" s="69">
        <f>INDEX(inp_debt_repay,5)</f>
        <v>0</v>
      </c>
      <c r="BK242" s="69">
        <f>INDEX(inp_debt_repay,6)</f>
        <v>0</v>
      </c>
      <c r="BL242" s="69">
        <f>INDEX(inp_debt_repay,7)</f>
        <v>0</v>
      </c>
      <c r="BM242" s="69">
        <f>INDEX(inp_debt_repay,8)</f>
        <v>0</v>
      </c>
      <c r="BN242" s="69">
        <f>INDEX(inp_debt_repay,9)</f>
        <v>0</v>
      </c>
      <c r="BO242" s="69">
        <f>INDEX(inp_debt_repay,10)</f>
        <v>0</v>
      </c>
      <c r="BP242" s="69">
        <f>INDEX(inp_debt_repay,11)</f>
        <v>0</v>
      </c>
      <c r="BQ242" s="69">
        <f>INDEX(inp_debt_repay,12)</f>
        <v>0</v>
      </c>
      <c r="BR242" s="69">
        <f>INDEX(inp_debt_repay,13)</f>
        <v>0</v>
      </c>
      <c r="BS242" s="69">
        <f>INDEX(inp_debt_repay,14)</f>
        <v>0</v>
      </c>
      <c r="BT242" s="69">
        <f>INDEX(inp_debt_repay,15)</f>
        <v>0</v>
      </c>
      <c r="BU242" s="69">
        <f>INDEX(inp_debt_repay,16)</f>
        <v>0</v>
      </c>
      <c r="BV242" s="69">
        <f>INDEX(inp_debt_repay,17)</f>
        <v>0</v>
      </c>
      <c r="BW242" s="69">
        <f>INDEX(inp_debt_repay,18)</f>
        <v>0</v>
      </c>
      <c r="BX242" s="69">
        <f>INDEX(inp_debt_repay,19)</f>
        <v>0</v>
      </c>
      <c r="BY242" s="69">
        <f>INDEX(inp_debt_repay,20)</f>
        <v>0</v>
      </c>
      <c r="BZ242" s="69">
        <f>INDEX(inp_debt_repay,21)</f>
        <v>0</v>
      </c>
      <c r="CA242" s="69">
        <f>INDEX(inp_debt_repay,22)</f>
        <v>0</v>
      </c>
      <c r="CB242" s="69">
        <f>INDEX(inp_debt_repay,23)</f>
        <v>0</v>
      </c>
      <c r="CC242" s="69">
        <f>INDEX(inp_debt_repay,24)</f>
        <v>0</v>
      </c>
      <c r="CD242" s="70">
        <f t="shared" si="195"/>
        <v>0</v>
      </c>
      <c r="CE242" s="70">
        <f t="shared" si="196"/>
        <v>0</v>
      </c>
      <c r="CF242" s="2"/>
      <c r="CG242" s="69">
        <f>INDEX(inp_debt_repay,1)</f>
        <v>0</v>
      </c>
      <c r="CH242" s="69">
        <f>INDEX(inp_debt_repay,2)</f>
        <v>0</v>
      </c>
      <c r="CI242" s="69">
        <f>INDEX(inp_debt_repay,3)</f>
        <v>0</v>
      </c>
      <c r="CJ242" s="69">
        <f>INDEX(inp_debt_repay,4)</f>
        <v>0</v>
      </c>
      <c r="CK242" s="69">
        <f>INDEX(inp_debt_repay,5)</f>
        <v>0</v>
      </c>
      <c r="CL242" s="69">
        <f>INDEX(inp_debt_repay,6)</f>
        <v>0</v>
      </c>
      <c r="CM242" s="69">
        <f>INDEX(inp_debt_repay,7)</f>
        <v>0</v>
      </c>
      <c r="CN242" s="69">
        <f>INDEX(inp_debt_repay,8)</f>
        <v>0</v>
      </c>
      <c r="CO242" s="69">
        <f>INDEX(inp_debt_repay,9)</f>
        <v>0</v>
      </c>
      <c r="CP242" s="69">
        <f>INDEX(inp_debt_repay,10)</f>
        <v>0</v>
      </c>
      <c r="CQ242" s="69">
        <f>INDEX(inp_debt_repay,11)</f>
        <v>0</v>
      </c>
      <c r="CR242" s="69">
        <f>INDEX(inp_debt_repay,12)</f>
        <v>0</v>
      </c>
      <c r="CS242" s="69">
        <f>INDEX(inp_debt_repay,13)</f>
        <v>0</v>
      </c>
      <c r="CT242" s="69">
        <f>INDEX(inp_debt_repay,14)</f>
        <v>0</v>
      </c>
      <c r="CU242" s="69">
        <f>INDEX(inp_debt_repay,15)</f>
        <v>0</v>
      </c>
      <c r="CV242" s="69">
        <f>INDEX(inp_debt_repay,16)</f>
        <v>0</v>
      </c>
      <c r="CW242" s="69">
        <f>INDEX(inp_debt_repay,17)</f>
        <v>0</v>
      </c>
      <c r="CX242" s="69">
        <f>INDEX(inp_debt_repay,18)</f>
        <v>0</v>
      </c>
      <c r="CY242" s="69">
        <f>INDEX(inp_debt_repay,19)</f>
        <v>0</v>
      </c>
      <c r="CZ242" s="69">
        <f>INDEX(inp_debt_repay,20)</f>
        <v>0</v>
      </c>
      <c r="DA242" s="69">
        <f>INDEX(inp_debt_repay,21)</f>
        <v>0</v>
      </c>
      <c r="DB242" s="69">
        <f>INDEX(inp_debt_repay,22)</f>
        <v>0</v>
      </c>
      <c r="DC242" s="69">
        <f>INDEX(inp_debt_repay,23)</f>
        <v>0</v>
      </c>
      <c r="DD242" s="69">
        <f>INDEX(inp_debt_repay,24)</f>
        <v>0</v>
      </c>
      <c r="DE242" s="70">
        <f t="shared" si="198"/>
        <v>0</v>
      </c>
      <c r="DF242" s="70">
        <f t="shared" si="199"/>
        <v>0</v>
      </c>
      <c r="DG242"/>
      <c r="DH242"/>
    </row>
    <row r="243" spans="1:112" hidden="1" x14ac:dyDescent="0.2">
      <c r="A243" s="2"/>
      <c r="B243" s="35" t="s">
        <v>165</v>
      </c>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69">
        <f>INDEX(inp_dist,1)</f>
        <v>0</v>
      </c>
      <c r="AF243" s="69">
        <f>INDEX(inp_dist,2)</f>
        <v>0</v>
      </c>
      <c r="AG243" s="69">
        <f>INDEX(inp_dist,3)</f>
        <v>0</v>
      </c>
      <c r="AH243" s="69">
        <f>INDEX(inp_dist,4)</f>
        <v>0</v>
      </c>
      <c r="AI243" s="69">
        <f>INDEX(inp_dist,5)</f>
        <v>0</v>
      </c>
      <c r="AJ243" s="69">
        <f>INDEX(inp_dist,6)</f>
        <v>0</v>
      </c>
      <c r="AK243" s="69">
        <f>INDEX(inp_dist,7)</f>
        <v>0</v>
      </c>
      <c r="AL243" s="69">
        <f>INDEX(inp_dist,8)</f>
        <v>0</v>
      </c>
      <c r="AM243" s="69">
        <f>INDEX(inp_dist,9)</f>
        <v>0</v>
      </c>
      <c r="AN243" s="69">
        <f>INDEX(inp_dist,10)</f>
        <v>0</v>
      </c>
      <c r="AO243" s="69">
        <f>INDEX(inp_dist,11)</f>
        <v>0</v>
      </c>
      <c r="AP243" s="69">
        <f>INDEX(inp_dist,12)</f>
        <v>0</v>
      </c>
      <c r="AQ243" s="69">
        <f>INDEX(inp_dist,13)</f>
        <v>0</v>
      </c>
      <c r="AR243" s="69">
        <f>INDEX(inp_dist,14)</f>
        <v>0</v>
      </c>
      <c r="AS243" s="69">
        <f>INDEX(inp_dist,15)</f>
        <v>0</v>
      </c>
      <c r="AT243" s="69">
        <f>INDEX(inp_dist,16)</f>
        <v>0</v>
      </c>
      <c r="AU243" s="69">
        <f>INDEX(inp_dist,17)</f>
        <v>0</v>
      </c>
      <c r="AV243" s="69">
        <f>INDEX(inp_dist,18)</f>
        <v>0</v>
      </c>
      <c r="AW243" s="69">
        <f>INDEX(inp_dist,19)</f>
        <v>0</v>
      </c>
      <c r="AX243" s="69">
        <f>INDEX(inp_dist,20)</f>
        <v>0</v>
      </c>
      <c r="AY243" s="69">
        <f>INDEX(inp_dist,21)</f>
        <v>0</v>
      </c>
      <c r="AZ243" s="69">
        <f>INDEX(inp_dist,22)</f>
        <v>0</v>
      </c>
      <c r="BA243" s="69">
        <f>INDEX(inp_dist,23)</f>
        <v>0</v>
      </c>
      <c r="BB243" s="69">
        <f>INDEX(inp_dist,24)</f>
        <v>0</v>
      </c>
      <c r="BC243" s="70">
        <f t="shared" si="192"/>
        <v>0</v>
      </c>
      <c r="BD243" s="70">
        <f t="shared" si="193"/>
        <v>0</v>
      </c>
      <c r="BE243" s="2"/>
      <c r="BF243" s="69">
        <f>INDEX(inp_dist,1)</f>
        <v>0</v>
      </c>
      <c r="BG243" s="69">
        <f>INDEX(inp_dist,2)</f>
        <v>0</v>
      </c>
      <c r="BH243" s="69">
        <f>INDEX(inp_dist,3)</f>
        <v>0</v>
      </c>
      <c r="BI243" s="69">
        <f>INDEX(inp_dist,4)</f>
        <v>0</v>
      </c>
      <c r="BJ243" s="69">
        <f>INDEX(inp_dist,5)</f>
        <v>0</v>
      </c>
      <c r="BK243" s="69">
        <f>INDEX(inp_dist,6)</f>
        <v>0</v>
      </c>
      <c r="BL243" s="69">
        <f>INDEX(inp_dist,7)</f>
        <v>0</v>
      </c>
      <c r="BM243" s="69">
        <f>INDEX(inp_dist,8)</f>
        <v>0</v>
      </c>
      <c r="BN243" s="69">
        <f>INDEX(inp_dist,9)</f>
        <v>0</v>
      </c>
      <c r="BO243" s="69">
        <f>INDEX(inp_dist,10)</f>
        <v>0</v>
      </c>
      <c r="BP243" s="69">
        <f>INDEX(inp_dist,11)</f>
        <v>0</v>
      </c>
      <c r="BQ243" s="69">
        <f>INDEX(inp_dist,12)</f>
        <v>0</v>
      </c>
      <c r="BR243" s="69">
        <f>INDEX(inp_dist,13)</f>
        <v>0</v>
      </c>
      <c r="BS243" s="69">
        <f>INDEX(inp_dist,14)</f>
        <v>0</v>
      </c>
      <c r="BT243" s="69">
        <f>INDEX(inp_dist,15)</f>
        <v>0</v>
      </c>
      <c r="BU243" s="69">
        <f>INDEX(inp_dist,16)</f>
        <v>0</v>
      </c>
      <c r="BV243" s="69">
        <f>INDEX(inp_dist,17)</f>
        <v>0</v>
      </c>
      <c r="BW243" s="69">
        <f>INDEX(inp_dist,18)</f>
        <v>0</v>
      </c>
      <c r="BX243" s="69">
        <f>INDEX(inp_dist,19)</f>
        <v>0</v>
      </c>
      <c r="BY243" s="69">
        <f>INDEX(inp_dist,20)</f>
        <v>0</v>
      </c>
      <c r="BZ243" s="69">
        <f>INDEX(inp_dist,21)</f>
        <v>0</v>
      </c>
      <c r="CA243" s="69">
        <f>INDEX(inp_dist,22)</f>
        <v>0</v>
      </c>
      <c r="CB243" s="69">
        <f>INDEX(inp_dist,23)</f>
        <v>0</v>
      </c>
      <c r="CC243" s="69">
        <f>INDEX(inp_dist,24)</f>
        <v>0</v>
      </c>
      <c r="CD243" s="70">
        <f t="shared" si="195"/>
        <v>0</v>
      </c>
      <c r="CE243" s="70">
        <f t="shared" si="196"/>
        <v>0</v>
      </c>
      <c r="CF243" s="2"/>
      <c r="CG243" s="69">
        <f>INDEX(inp_dist,1)</f>
        <v>0</v>
      </c>
      <c r="CH243" s="69">
        <f>INDEX(inp_dist,2)</f>
        <v>0</v>
      </c>
      <c r="CI243" s="69">
        <f>INDEX(inp_dist,3)</f>
        <v>0</v>
      </c>
      <c r="CJ243" s="69">
        <f>INDEX(inp_dist,4)</f>
        <v>0</v>
      </c>
      <c r="CK243" s="69">
        <f>INDEX(inp_dist,5)</f>
        <v>0</v>
      </c>
      <c r="CL243" s="69">
        <f>INDEX(inp_dist,6)</f>
        <v>0</v>
      </c>
      <c r="CM243" s="69">
        <f>INDEX(inp_dist,7)</f>
        <v>0</v>
      </c>
      <c r="CN243" s="69">
        <f>INDEX(inp_dist,8)</f>
        <v>0</v>
      </c>
      <c r="CO243" s="69">
        <f>INDEX(inp_dist,9)</f>
        <v>0</v>
      </c>
      <c r="CP243" s="69">
        <f>INDEX(inp_dist,10)</f>
        <v>0</v>
      </c>
      <c r="CQ243" s="69">
        <f>INDEX(inp_dist,11)</f>
        <v>0</v>
      </c>
      <c r="CR243" s="69">
        <f>INDEX(inp_dist,12)</f>
        <v>0</v>
      </c>
      <c r="CS243" s="69">
        <f>INDEX(inp_dist,13)</f>
        <v>0</v>
      </c>
      <c r="CT243" s="69">
        <f>INDEX(inp_dist,14)</f>
        <v>0</v>
      </c>
      <c r="CU243" s="69">
        <f>INDEX(inp_dist,15)</f>
        <v>0</v>
      </c>
      <c r="CV243" s="69">
        <f>INDEX(inp_dist,16)</f>
        <v>0</v>
      </c>
      <c r="CW243" s="69">
        <f>INDEX(inp_dist,17)</f>
        <v>0</v>
      </c>
      <c r="CX243" s="69">
        <f>INDEX(inp_dist,18)</f>
        <v>0</v>
      </c>
      <c r="CY243" s="69">
        <f>INDEX(inp_dist,19)</f>
        <v>0</v>
      </c>
      <c r="CZ243" s="69">
        <f>INDEX(inp_dist,20)</f>
        <v>0</v>
      </c>
      <c r="DA243" s="69">
        <f>INDEX(inp_dist,21)</f>
        <v>0</v>
      </c>
      <c r="DB243" s="69">
        <f>INDEX(inp_dist,22)</f>
        <v>0</v>
      </c>
      <c r="DC243" s="69">
        <f>INDEX(inp_dist,23)</f>
        <v>0</v>
      </c>
      <c r="DD243" s="69">
        <f>INDEX(inp_dist,24)</f>
        <v>0</v>
      </c>
      <c r="DE243" s="70">
        <f t="shared" si="198"/>
        <v>0</v>
      </c>
      <c r="DF243" s="70">
        <f t="shared" si="199"/>
        <v>0</v>
      </c>
      <c r="DG243"/>
      <c r="DH243"/>
    </row>
    <row r="244" spans="1:112" hidden="1" x14ac:dyDescent="0.2">
      <c r="A244" s="2"/>
      <c r="B244" s="35" t="s">
        <v>166</v>
      </c>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69">
        <f>INDEX(inp_equity_contr,1)</f>
        <v>0</v>
      </c>
      <c r="AF244" s="69">
        <f>INDEX(inp_equity_contr,2)</f>
        <v>0</v>
      </c>
      <c r="AG244" s="69">
        <f>INDEX(inp_equity_contr,3)</f>
        <v>0</v>
      </c>
      <c r="AH244" s="69">
        <f>INDEX(inp_equity_contr,4)</f>
        <v>0</v>
      </c>
      <c r="AI244" s="69">
        <f>INDEX(inp_equity_contr,5)</f>
        <v>0</v>
      </c>
      <c r="AJ244" s="69">
        <f>INDEX(inp_equity_contr,6)</f>
        <v>0</v>
      </c>
      <c r="AK244" s="69">
        <f>INDEX(inp_equity_contr,7)</f>
        <v>0</v>
      </c>
      <c r="AL244" s="69">
        <f>INDEX(inp_equity_contr,8)</f>
        <v>0</v>
      </c>
      <c r="AM244" s="69">
        <f>INDEX(inp_equity_contr,9)</f>
        <v>0</v>
      </c>
      <c r="AN244" s="69">
        <f>INDEX(inp_equity_contr,10)</f>
        <v>0</v>
      </c>
      <c r="AO244" s="69">
        <f>INDEX(inp_equity_contr,11)</f>
        <v>0</v>
      </c>
      <c r="AP244" s="69">
        <f>INDEX(inp_equity_contr,12)</f>
        <v>0</v>
      </c>
      <c r="AQ244" s="69">
        <f>INDEX(inp_equity_contr,13)</f>
        <v>0</v>
      </c>
      <c r="AR244" s="69">
        <f>INDEX(inp_equity_contr,14)</f>
        <v>0</v>
      </c>
      <c r="AS244" s="69">
        <f>INDEX(inp_equity_contr,15)</f>
        <v>0</v>
      </c>
      <c r="AT244" s="69">
        <f>INDEX(inp_equity_contr,16)</f>
        <v>0</v>
      </c>
      <c r="AU244" s="69">
        <f>INDEX(inp_equity_contr,17)</f>
        <v>0</v>
      </c>
      <c r="AV244" s="69">
        <f>INDEX(inp_equity_contr,18)</f>
        <v>0</v>
      </c>
      <c r="AW244" s="69">
        <f>INDEX(inp_equity_contr,19)</f>
        <v>0</v>
      </c>
      <c r="AX244" s="69">
        <f>INDEX(inp_equity_contr,20)</f>
        <v>0</v>
      </c>
      <c r="AY244" s="69">
        <f>INDEX(inp_equity_contr,21)</f>
        <v>0</v>
      </c>
      <c r="AZ244" s="69">
        <f>INDEX(inp_equity_contr,22)</f>
        <v>0</v>
      </c>
      <c r="BA244" s="69">
        <f>INDEX(inp_equity_contr,23)</f>
        <v>0</v>
      </c>
      <c r="BB244" s="69">
        <f>INDEX(inp_equity_contr,24)</f>
        <v>0</v>
      </c>
      <c r="BC244" s="70">
        <f t="shared" si="192"/>
        <v>0</v>
      </c>
      <c r="BD244" s="70">
        <f t="shared" si="193"/>
        <v>0</v>
      </c>
      <c r="BE244" s="2"/>
      <c r="BF244" s="69">
        <f>INDEX(inp_equity_contr,1)</f>
        <v>0</v>
      </c>
      <c r="BG244" s="69">
        <f>INDEX(inp_equity_contr,2)</f>
        <v>0</v>
      </c>
      <c r="BH244" s="69">
        <f>INDEX(inp_equity_contr,3)</f>
        <v>0</v>
      </c>
      <c r="BI244" s="69">
        <f>INDEX(inp_equity_contr,4)</f>
        <v>0</v>
      </c>
      <c r="BJ244" s="69">
        <f>INDEX(inp_equity_contr,5)</f>
        <v>0</v>
      </c>
      <c r="BK244" s="69">
        <f>INDEX(inp_equity_contr,6)</f>
        <v>0</v>
      </c>
      <c r="BL244" s="69">
        <f>INDEX(inp_equity_contr,7)</f>
        <v>0</v>
      </c>
      <c r="BM244" s="69">
        <f>INDEX(inp_equity_contr,8)</f>
        <v>0</v>
      </c>
      <c r="BN244" s="69">
        <f>INDEX(inp_equity_contr,9)</f>
        <v>0</v>
      </c>
      <c r="BO244" s="69">
        <f>INDEX(inp_equity_contr,10)</f>
        <v>0</v>
      </c>
      <c r="BP244" s="69">
        <f>INDEX(inp_equity_contr,11)</f>
        <v>0</v>
      </c>
      <c r="BQ244" s="69">
        <f>INDEX(inp_equity_contr,12)</f>
        <v>0</v>
      </c>
      <c r="BR244" s="69">
        <f>INDEX(inp_equity_contr,13)</f>
        <v>0</v>
      </c>
      <c r="BS244" s="69">
        <f>INDEX(inp_equity_contr,14)</f>
        <v>0</v>
      </c>
      <c r="BT244" s="69">
        <f>INDEX(inp_equity_contr,15)</f>
        <v>0</v>
      </c>
      <c r="BU244" s="69">
        <f>INDEX(inp_equity_contr,16)</f>
        <v>0</v>
      </c>
      <c r="BV244" s="69">
        <f>INDEX(inp_equity_contr,17)</f>
        <v>0</v>
      </c>
      <c r="BW244" s="69">
        <f>INDEX(inp_equity_contr,18)</f>
        <v>0</v>
      </c>
      <c r="BX244" s="69">
        <f>INDEX(inp_equity_contr,19)</f>
        <v>0</v>
      </c>
      <c r="BY244" s="69">
        <f>INDEX(inp_equity_contr,20)</f>
        <v>0</v>
      </c>
      <c r="BZ244" s="69">
        <f>INDEX(inp_equity_contr,21)</f>
        <v>0</v>
      </c>
      <c r="CA244" s="69">
        <f>INDEX(inp_equity_contr,22)</f>
        <v>0</v>
      </c>
      <c r="CB244" s="69">
        <f>INDEX(inp_equity_contr,23)</f>
        <v>0</v>
      </c>
      <c r="CC244" s="69">
        <f>INDEX(inp_equity_contr,24)</f>
        <v>0</v>
      </c>
      <c r="CD244" s="70">
        <f t="shared" si="195"/>
        <v>0</v>
      </c>
      <c r="CE244" s="70">
        <f t="shared" si="196"/>
        <v>0</v>
      </c>
      <c r="CF244" s="2"/>
      <c r="CG244" s="69">
        <f>INDEX(inp_equity_contr,1)</f>
        <v>0</v>
      </c>
      <c r="CH244" s="69">
        <f>INDEX(inp_equity_contr,2)</f>
        <v>0</v>
      </c>
      <c r="CI244" s="69">
        <f>INDEX(inp_equity_contr,3)</f>
        <v>0</v>
      </c>
      <c r="CJ244" s="69">
        <f>INDEX(inp_equity_contr,4)</f>
        <v>0</v>
      </c>
      <c r="CK244" s="69">
        <f>INDEX(inp_equity_contr,5)</f>
        <v>0</v>
      </c>
      <c r="CL244" s="69">
        <f>INDEX(inp_equity_contr,6)</f>
        <v>0</v>
      </c>
      <c r="CM244" s="69">
        <f>INDEX(inp_equity_contr,7)</f>
        <v>0</v>
      </c>
      <c r="CN244" s="69">
        <f>INDEX(inp_equity_contr,8)</f>
        <v>0</v>
      </c>
      <c r="CO244" s="69">
        <f>INDEX(inp_equity_contr,9)</f>
        <v>0</v>
      </c>
      <c r="CP244" s="69">
        <f>INDEX(inp_equity_contr,10)</f>
        <v>0</v>
      </c>
      <c r="CQ244" s="69">
        <f>INDEX(inp_equity_contr,11)</f>
        <v>0</v>
      </c>
      <c r="CR244" s="69">
        <f>INDEX(inp_equity_contr,12)</f>
        <v>0</v>
      </c>
      <c r="CS244" s="69">
        <f>INDEX(inp_equity_contr,13)</f>
        <v>0</v>
      </c>
      <c r="CT244" s="69">
        <f>INDEX(inp_equity_contr,14)</f>
        <v>0</v>
      </c>
      <c r="CU244" s="69">
        <f>INDEX(inp_equity_contr,15)</f>
        <v>0</v>
      </c>
      <c r="CV244" s="69">
        <f>INDEX(inp_equity_contr,16)</f>
        <v>0</v>
      </c>
      <c r="CW244" s="69">
        <f>INDEX(inp_equity_contr,17)</f>
        <v>0</v>
      </c>
      <c r="CX244" s="69">
        <f>INDEX(inp_equity_contr,18)</f>
        <v>0</v>
      </c>
      <c r="CY244" s="69">
        <f>INDEX(inp_equity_contr,19)</f>
        <v>0</v>
      </c>
      <c r="CZ244" s="69">
        <f>INDEX(inp_equity_contr,20)</f>
        <v>0</v>
      </c>
      <c r="DA244" s="69">
        <f>INDEX(inp_equity_contr,21)</f>
        <v>0</v>
      </c>
      <c r="DB244" s="69">
        <f>INDEX(inp_equity_contr,22)</f>
        <v>0</v>
      </c>
      <c r="DC244" s="69">
        <f>INDEX(inp_equity_contr,23)</f>
        <v>0</v>
      </c>
      <c r="DD244" s="69">
        <f>INDEX(inp_equity_contr,24)</f>
        <v>0</v>
      </c>
      <c r="DE244" s="70">
        <f t="shared" si="198"/>
        <v>0</v>
      </c>
      <c r="DF244" s="70">
        <f t="shared" si="199"/>
        <v>0</v>
      </c>
      <c r="DG244"/>
      <c r="DH244"/>
    </row>
    <row r="245" spans="1:112" hidden="1" x14ac:dyDescent="0.2">
      <c r="A245" s="2"/>
      <c r="B245" s="35" t="s">
        <v>167</v>
      </c>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70">
        <f t="shared" ref="AE245:BB245" si="209">AE241-AE242-AE243+AE244</f>
        <v>0</v>
      </c>
      <c r="AF245" s="70">
        <f t="shared" si="209"/>
        <v>0</v>
      </c>
      <c r="AG245" s="70">
        <f t="shared" si="209"/>
        <v>0</v>
      </c>
      <c r="AH245" s="70">
        <f t="shared" si="209"/>
        <v>0</v>
      </c>
      <c r="AI245" s="70">
        <f t="shared" si="209"/>
        <v>0</v>
      </c>
      <c r="AJ245" s="70">
        <f t="shared" si="209"/>
        <v>0</v>
      </c>
      <c r="AK245" s="70">
        <f t="shared" si="209"/>
        <v>0</v>
      </c>
      <c r="AL245" s="70">
        <f t="shared" si="209"/>
        <v>0</v>
      </c>
      <c r="AM245" s="70">
        <f t="shared" si="209"/>
        <v>0</v>
      </c>
      <c r="AN245" s="70">
        <f t="shared" si="209"/>
        <v>0</v>
      </c>
      <c r="AO245" s="70">
        <f t="shared" si="209"/>
        <v>0</v>
      </c>
      <c r="AP245" s="70">
        <f t="shared" si="209"/>
        <v>0</v>
      </c>
      <c r="AQ245" s="70">
        <f t="shared" si="209"/>
        <v>0</v>
      </c>
      <c r="AR245" s="70">
        <f t="shared" si="209"/>
        <v>0</v>
      </c>
      <c r="AS245" s="70">
        <f t="shared" si="209"/>
        <v>0</v>
      </c>
      <c r="AT245" s="70">
        <f t="shared" si="209"/>
        <v>0</v>
      </c>
      <c r="AU245" s="70">
        <f t="shared" si="209"/>
        <v>0</v>
      </c>
      <c r="AV245" s="70">
        <f t="shared" si="209"/>
        <v>0</v>
      </c>
      <c r="AW245" s="70">
        <f t="shared" si="209"/>
        <v>0</v>
      </c>
      <c r="AX245" s="70">
        <f t="shared" si="209"/>
        <v>0</v>
      </c>
      <c r="AY245" s="70">
        <f t="shared" si="209"/>
        <v>0</v>
      </c>
      <c r="AZ245" s="70">
        <f t="shared" si="209"/>
        <v>0</v>
      </c>
      <c r="BA245" s="70">
        <f t="shared" si="209"/>
        <v>0</v>
      </c>
      <c r="BB245" s="70">
        <f t="shared" si="209"/>
        <v>0</v>
      </c>
      <c r="BC245" s="70">
        <f t="shared" si="192"/>
        <v>0</v>
      </c>
      <c r="BD245" s="70">
        <f t="shared" si="193"/>
        <v>0</v>
      </c>
      <c r="BE245" s="2"/>
      <c r="BF245" s="70">
        <f t="shared" ref="BF245:CC245" si="210">BF241-BF242-BF243+BF244</f>
        <v>0</v>
      </c>
      <c r="BG245" s="70">
        <f t="shared" si="210"/>
        <v>0</v>
      </c>
      <c r="BH245" s="70">
        <f t="shared" si="210"/>
        <v>0</v>
      </c>
      <c r="BI245" s="70">
        <f t="shared" si="210"/>
        <v>0</v>
      </c>
      <c r="BJ245" s="70">
        <f t="shared" si="210"/>
        <v>0</v>
      </c>
      <c r="BK245" s="70">
        <f t="shared" si="210"/>
        <v>0</v>
      </c>
      <c r="BL245" s="70">
        <f t="shared" si="210"/>
        <v>0</v>
      </c>
      <c r="BM245" s="70">
        <f t="shared" si="210"/>
        <v>0</v>
      </c>
      <c r="BN245" s="70">
        <f t="shared" si="210"/>
        <v>0</v>
      </c>
      <c r="BO245" s="70">
        <f t="shared" si="210"/>
        <v>0</v>
      </c>
      <c r="BP245" s="70">
        <f t="shared" si="210"/>
        <v>0</v>
      </c>
      <c r="BQ245" s="70">
        <f t="shared" si="210"/>
        <v>0</v>
      </c>
      <c r="BR245" s="70">
        <f t="shared" si="210"/>
        <v>0</v>
      </c>
      <c r="BS245" s="70">
        <f t="shared" si="210"/>
        <v>0</v>
      </c>
      <c r="BT245" s="70">
        <f t="shared" si="210"/>
        <v>0</v>
      </c>
      <c r="BU245" s="70">
        <f t="shared" si="210"/>
        <v>0</v>
      </c>
      <c r="BV245" s="70">
        <f t="shared" si="210"/>
        <v>0</v>
      </c>
      <c r="BW245" s="70">
        <f t="shared" si="210"/>
        <v>0</v>
      </c>
      <c r="BX245" s="70">
        <f t="shared" si="210"/>
        <v>0</v>
      </c>
      <c r="BY245" s="70">
        <f t="shared" si="210"/>
        <v>0</v>
      </c>
      <c r="BZ245" s="70">
        <f t="shared" si="210"/>
        <v>0</v>
      </c>
      <c r="CA245" s="70">
        <f t="shared" si="210"/>
        <v>0</v>
      </c>
      <c r="CB245" s="70">
        <f t="shared" si="210"/>
        <v>0</v>
      </c>
      <c r="CC245" s="70">
        <f t="shared" si="210"/>
        <v>0</v>
      </c>
      <c r="CD245" s="70">
        <f t="shared" si="195"/>
        <v>0</v>
      </c>
      <c r="CE245" s="70">
        <f t="shared" si="196"/>
        <v>0</v>
      </c>
      <c r="CF245" s="2"/>
      <c r="CG245" s="70">
        <f t="shared" ref="CG245:DD245" si="211">CG241-CG242-CG243+CG244</f>
        <v>0</v>
      </c>
      <c r="CH245" s="70">
        <f t="shared" si="211"/>
        <v>0</v>
      </c>
      <c r="CI245" s="70">
        <f t="shared" si="211"/>
        <v>0</v>
      </c>
      <c r="CJ245" s="70">
        <f t="shared" si="211"/>
        <v>0</v>
      </c>
      <c r="CK245" s="70">
        <f t="shared" si="211"/>
        <v>0</v>
      </c>
      <c r="CL245" s="70">
        <f t="shared" si="211"/>
        <v>0</v>
      </c>
      <c r="CM245" s="70">
        <f t="shared" si="211"/>
        <v>0</v>
      </c>
      <c r="CN245" s="70">
        <f t="shared" si="211"/>
        <v>0</v>
      </c>
      <c r="CO245" s="70">
        <f t="shared" si="211"/>
        <v>0</v>
      </c>
      <c r="CP245" s="70">
        <f t="shared" si="211"/>
        <v>0</v>
      </c>
      <c r="CQ245" s="70">
        <f t="shared" si="211"/>
        <v>0</v>
      </c>
      <c r="CR245" s="70">
        <f t="shared" si="211"/>
        <v>0</v>
      </c>
      <c r="CS245" s="70">
        <f t="shared" si="211"/>
        <v>0</v>
      </c>
      <c r="CT245" s="70">
        <f t="shared" si="211"/>
        <v>0</v>
      </c>
      <c r="CU245" s="70">
        <f t="shared" si="211"/>
        <v>0</v>
      </c>
      <c r="CV245" s="70">
        <f t="shared" si="211"/>
        <v>0</v>
      </c>
      <c r="CW245" s="70">
        <f t="shared" si="211"/>
        <v>0</v>
      </c>
      <c r="CX245" s="70">
        <f t="shared" si="211"/>
        <v>0</v>
      </c>
      <c r="CY245" s="70">
        <f t="shared" si="211"/>
        <v>0</v>
      </c>
      <c r="CZ245" s="70">
        <f t="shared" si="211"/>
        <v>0</v>
      </c>
      <c r="DA245" s="70">
        <f t="shared" si="211"/>
        <v>0</v>
      </c>
      <c r="DB245" s="70">
        <f t="shared" si="211"/>
        <v>0</v>
      </c>
      <c r="DC245" s="70">
        <f t="shared" si="211"/>
        <v>0</v>
      </c>
      <c r="DD245" s="70">
        <f t="shared" si="211"/>
        <v>0</v>
      </c>
      <c r="DE245" s="70">
        <f t="shared" si="198"/>
        <v>0</v>
      </c>
      <c r="DF245" s="70">
        <f t="shared" si="199"/>
        <v>0</v>
      </c>
      <c r="DG245"/>
      <c r="DH245"/>
    </row>
    <row r="246" spans="1:112" hidden="1" x14ac:dyDescent="0.2">
      <c r="A246" s="2"/>
      <c r="B246" s="35" t="s">
        <v>168</v>
      </c>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70">
        <f t="shared" ref="AE246:BB246" si="212">AE238+AE240+AE245</f>
        <v>0</v>
      </c>
      <c r="AF246" s="70">
        <f t="shared" si="212"/>
        <v>0</v>
      </c>
      <c r="AG246" s="70">
        <f t="shared" si="212"/>
        <v>0</v>
      </c>
      <c r="AH246" s="70">
        <f t="shared" si="212"/>
        <v>0</v>
      </c>
      <c r="AI246" s="70">
        <f t="shared" si="212"/>
        <v>0</v>
      </c>
      <c r="AJ246" s="70">
        <f t="shared" si="212"/>
        <v>0</v>
      </c>
      <c r="AK246" s="70">
        <f t="shared" si="212"/>
        <v>0</v>
      </c>
      <c r="AL246" s="70">
        <f t="shared" si="212"/>
        <v>0</v>
      </c>
      <c r="AM246" s="70">
        <f t="shared" si="212"/>
        <v>0</v>
      </c>
      <c r="AN246" s="70">
        <f t="shared" si="212"/>
        <v>0</v>
      </c>
      <c r="AO246" s="70">
        <f t="shared" si="212"/>
        <v>0</v>
      </c>
      <c r="AP246" s="70">
        <f t="shared" si="212"/>
        <v>0</v>
      </c>
      <c r="AQ246" s="70">
        <f t="shared" si="212"/>
        <v>0</v>
      </c>
      <c r="AR246" s="70">
        <f t="shared" si="212"/>
        <v>0</v>
      </c>
      <c r="AS246" s="70">
        <f t="shared" si="212"/>
        <v>0</v>
      </c>
      <c r="AT246" s="70">
        <f t="shared" si="212"/>
        <v>0</v>
      </c>
      <c r="AU246" s="70">
        <f t="shared" si="212"/>
        <v>0</v>
      </c>
      <c r="AV246" s="70">
        <f t="shared" si="212"/>
        <v>0</v>
      </c>
      <c r="AW246" s="70">
        <f t="shared" si="212"/>
        <v>0</v>
      </c>
      <c r="AX246" s="70">
        <f t="shared" si="212"/>
        <v>0</v>
      </c>
      <c r="AY246" s="70">
        <f t="shared" si="212"/>
        <v>0</v>
      </c>
      <c r="AZ246" s="70">
        <f t="shared" si="212"/>
        <v>0</v>
      </c>
      <c r="BA246" s="70">
        <f t="shared" si="212"/>
        <v>0</v>
      </c>
      <c r="BB246" s="70">
        <f t="shared" si="212"/>
        <v>0</v>
      </c>
      <c r="BC246" s="70">
        <f t="shared" si="192"/>
        <v>0</v>
      </c>
      <c r="BD246" s="70">
        <f t="shared" si="193"/>
        <v>0</v>
      </c>
      <c r="BE246" s="2"/>
      <c r="BF246" s="70">
        <f t="shared" ref="BF246:CC246" si="213">BF238+BF240+BF245</f>
        <v>0</v>
      </c>
      <c r="BG246" s="70">
        <f t="shared" si="213"/>
        <v>0</v>
      </c>
      <c r="BH246" s="70">
        <f t="shared" si="213"/>
        <v>0</v>
      </c>
      <c r="BI246" s="70">
        <f t="shared" si="213"/>
        <v>0</v>
      </c>
      <c r="BJ246" s="70">
        <f t="shared" si="213"/>
        <v>0</v>
      </c>
      <c r="BK246" s="70">
        <f t="shared" si="213"/>
        <v>0</v>
      </c>
      <c r="BL246" s="70">
        <f t="shared" si="213"/>
        <v>0</v>
      </c>
      <c r="BM246" s="70">
        <f t="shared" si="213"/>
        <v>0</v>
      </c>
      <c r="BN246" s="70">
        <f t="shared" si="213"/>
        <v>0</v>
      </c>
      <c r="BO246" s="70">
        <f t="shared" si="213"/>
        <v>0</v>
      </c>
      <c r="BP246" s="70">
        <f t="shared" si="213"/>
        <v>0</v>
      </c>
      <c r="BQ246" s="70">
        <f t="shared" si="213"/>
        <v>0</v>
      </c>
      <c r="BR246" s="70">
        <f t="shared" si="213"/>
        <v>0</v>
      </c>
      <c r="BS246" s="70">
        <f t="shared" si="213"/>
        <v>0</v>
      </c>
      <c r="BT246" s="70">
        <f t="shared" si="213"/>
        <v>0</v>
      </c>
      <c r="BU246" s="70">
        <f t="shared" si="213"/>
        <v>0</v>
      </c>
      <c r="BV246" s="70">
        <f t="shared" si="213"/>
        <v>0</v>
      </c>
      <c r="BW246" s="70">
        <f t="shared" si="213"/>
        <v>0</v>
      </c>
      <c r="BX246" s="70">
        <f t="shared" si="213"/>
        <v>0</v>
      </c>
      <c r="BY246" s="70">
        <f t="shared" si="213"/>
        <v>0</v>
      </c>
      <c r="BZ246" s="70">
        <f t="shared" si="213"/>
        <v>0</v>
      </c>
      <c r="CA246" s="70">
        <f t="shared" si="213"/>
        <v>0</v>
      </c>
      <c r="CB246" s="70">
        <f t="shared" si="213"/>
        <v>0</v>
      </c>
      <c r="CC246" s="70">
        <f t="shared" si="213"/>
        <v>0</v>
      </c>
      <c r="CD246" s="70">
        <f t="shared" si="195"/>
        <v>0</v>
      </c>
      <c r="CE246" s="70">
        <f t="shared" si="196"/>
        <v>0</v>
      </c>
      <c r="CF246" s="2"/>
      <c r="CG246" s="70">
        <f t="shared" ref="CG246:DD246" si="214">CG238+CG240+CG245</f>
        <v>0</v>
      </c>
      <c r="CH246" s="70">
        <f t="shared" si="214"/>
        <v>0</v>
      </c>
      <c r="CI246" s="70">
        <f t="shared" si="214"/>
        <v>0</v>
      </c>
      <c r="CJ246" s="70">
        <f t="shared" si="214"/>
        <v>0</v>
      </c>
      <c r="CK246" s="70">
        <f t="shared" si="214"/>
        <v>0</v>
      </c>
      <c r="CL246" s="70">
        <f t="shared" si="214"/>
        <v>0</v>
      </c>
      <c r="CM246" s="70">
        <f t="shared" si="214"/>
        <v>0</v>
      </c>
      <c r="CN246" s="70">
        <f t="shared" si="214"/>
        <v>0</v>
      </c>
      <c r="CO246" s="70">
        <f t="shared" si="214"/>
        <v>0</v>
      </c>
      <c r="CP246" s="70">
        <f t="shared" si="214"/>
        <v>0</v>
      </c>
      <c r="CQ246" s="70">
        <f t="shared" si="214"/>
        <v>0</v>
      </c>
      <c r="CR246" s="70">
        <f t="shared" si="214"/>
        <v>0</v>
      </c>
      <c r="CS246" s="70">
        <f t="shared" si="214"/>
        <v>0</v>
      </c>
      <c r="CT246" s="70">
        <f t="shared" si="214"/>
        <v>0</v>
      </c>
      <c r="CU246" s="70">
        <f t="shared" si="214"/>
        <v>0</v>
      </c>
      <c r="CV246" s="70">
        <f t="shared" si="214"/>
        <v>0</v>
      </c>
      <c r="CW246" s="70">
        <f t="shared" si="214"/>
        <v>0</v>
      </c>
      <c r="CX246" s="70">
        <f t="shared" si="214"/>
        <v>0</v>
      </c>
      <c r="CY246" s="70">
        <f t="shared" si="214"/>
        <v>0</v>
      </c>
      <c r="CZ246" s="70">
        <f t="shared" si="214"/>
        <v>0</v>
      </c>
      <c r="DA246" s="70">
        <f t="shared" si="214"/>
        <v>0</v>
      </c>
      <c r="DB246" s="70">
        <f t="shared" si="214"/>
        <v>0</v>
      </c>
      <c r="DC246" s="70">
        <f t="shared" si="214"/>
        <v>0</v>
      </c>
      <c r="DD246" s="70">
        <f t="shared" si="214"/>
        <v>0</v>
      </c>
      <c r="DE246" s="70">
        <f t="shared" si="198"/>
        <v>0</v>
      </c>
      <c r="DF246" s="70">
        <f t="shared" si="199"/>
        <v>0</v>
      </c>
      <c r="DG246"/>
      <c r="DH246"/>
    </row>
    <row r="247" spans="1:112" hidden="1" x14ac:dyDescent="0.2">
      <c r="A247" s="2"/>
      <c r="B247" s="35" t="s">
        <v>169</v>
      </c>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69">
        <f>inp_open_cash</f>
        <v>0</v>
      </c>
      <c r="AF247" s="69">
        <f t="shared" ref="AF247:BB247" si="215">AE248</f>
        <v>0</v>
      </c>
      <c r="AG247" s="69">
        <f t="shared" si="215"/>
        <v>0</v>
      </c>
      <c r="AH247" s="69">
        <f t="shared" si="215"/>
        <v>0</v>
      </c>
      <c r="AI247" s="69">
        <f t="shared" si="215"/>
        <v>0</v>
      </c>
      <c r="AJ247" s="69">
        <f t="shared" si="215"/>
        <v>0</v>
      </c>
      <c r="AK247" s="69">
        <f t="shared" si="215"/>
        <v>0</v>
      </c>
      <c r="AL247" s="69">
        <f t="shared" si="215"/>
        <v>0</v>
      </c>
      <c r="AM247" s="69">
        <f t="shared" si="215"/>
        <v>0</v>
      </c>
      <c r="AN247" s="69">
        <f t="shared" si="215"/>
        <v>0</v>
      </c>
      <c r="AO247" s="69">
        <f t="shared" si="215"/>
        <v>0</v>
      </c>
      <c r="AP247" s="69">
        <f t="shared" si="215"/>
        <v>0</v>
      </c>
      <c r="AQ247" s="69">
        <f t="shared" si="215"/>
        <v>0</v>
      </c>
      <c r="AR247" s="69">
        <f t="shared" si="215"/>
        <v>0</v>
      </c>
      <c r="AS247" s="69">
        <f t="shared" si="215"/>
        <v>0</v>
      </c>
      <c r="AT247" s="69">
        <f t="shared" si="215"/>
        <v>0</v>
      </c>
      <c r="AU247" s="69">
        <f t="shared" si="215"/>
        <v>0</v>
      </c>
      <c r="AV247" s="69">
        <f t="shared" si="215"/>
        <v>0</v>
      </c>
      <c r="AW247" s="69">
        <f t="shared" si="215"/>
        <v>0</v>
      </c>
      <c r="AX247" s="69">
        <f t="shared" si="215"/>
        <v>0</v>
      </c>
      <c r="AY247" s="69">
        <f t="shared" si="215"/>
        <v>0</v>
      </c>
      <c r="AZ247" s="69">
        <f t="shared" si="215"/>
        <v>0</v>
      </c>
      <c r="BA247" s="69">
        <f t="shared" si="215"/>
        <v>0</v>
      </c>
      <c r="BB247" s="69">
        <f t="shared" si="215"/>
        <v>0</v>
      </c>
      <c r="BC247" s="70">
        <f t="shared" ref="BC247:BC270" si="216">AP247</f>
        <v>0</v>
      </c>
      <c r="BD247" s="70">
        <f t="shared" ref="BD247:BD270" si="217">BB247</f>
        <v>0</v>
      </c>
      <c r="BE247" s="2"/>
      <c r="BF247" s="69">
        <f>inp_open_cash</f>
        <v>0</v>
      </c>
      <c r="BG247" s="69">
        <f t="shared" ref="BG247:CC247" si="218">BF248</f>
        <v>0</v>
      </c>
      <c r="BH247" s="69">
        <f t="shared" si="218"/>
        <v>0</v>
      </c>
      <c r="BI247" s="69">
        <f t="shared" si="218"/>
        <v>0</v>
      </c>
      <c r="BJ247" s="69">
        <f t="shared" si="218"/>
        <v>0</v>
      </c>
      <c r="BK247" s="69">
        <f t="shared" si="218"/>
        <v>0</v>
      </c>
      <c r="BL247" s="69">
        <f t="shared" si="218"/>
        <v>0</v>
      </c>
      <c r="BM247" s="69">
        <f t="shared" si="218"/>
        <v>0</v>
      </c>
      <c r="BN247" s="69">
        <f t="shared" si="218"/>
        <v>0</v>
      </c>
      <c r="BO247" s="69">
        <f t="shared" si="218"/>
        <v>0</v>
      </c>
      <c r="BP247" s="69">
        <f t="shared" si="218"/>
        <v>0</v>
      </c>
      <c r="BQ247" s="69">
        <f t="shared" si="218"/>
        <v>0</v>
      </c>
      <c r="BR247" s="69">
        <f t="shared" si="218"/>
        <v>0</v>
      </c>
      <c r="BS247" s="69">
        <f t="shared" si="218"/>
        <v>0</v>
      </c>
      <c r="BT247" s="69">
        <f t="shared" si="218"/>
        <v>0</v>
      </c>
      <c r="BU247" s="69">
        <f t="shared" si="218"/>
        <v>0</v>
      </c>
      <c r="BV247" s="69">
        <f t="shared" si="218"/>
        <v>0</v>
      </c>
      <c r="BW247" s="69">
        <f t="shared" si="218"/>
        <v>0</v>
      </c>
      <c r="BX247" s="69">
        <f t="shared" si="218"/>
        <v>0</v>
      </c>
      <c r="BY247" s="69">
        <f t="shared" si="218"/>
        <v>0</v>
      </c>
      <c r="BZ247" s="69">
        <f t="shared" si="218"/>
        <v>0</v>
      </c>
      <c r="CA247" s="69">
        <f t="shared" si="218"/>
        <v>0</v>
      </c>
      <c r="CB247" s="69">
        <f t="shared" si="218"/>
        <v>0</v>
      </c>
      <c r="CC247" s="69">
        <f t="shared" si="218"/>
        <v>0</v>
      </c>
      <c r="CD247" s="70">
        <f t="shared" ref="CD247:CD270" si="219">BQ247</f>
        <v>0</v>
      </c>
      <c r="CE247" s="70">
        <f t="shared" ref="CE247:CE270" si="220">CC247</f>
        <v>0</v>
      </c>
      <c r="CF247" s="2"/>
      <c r="CG247" s="69">
        <f>inp_open_cash</f>
        <v>0</v>
      </c>
      <c r="CH247" s="69">
        <f t="shared" ref="CH247:DD247" si="221">CG248</f>
        <v>0</v>
      </c>
      <c r="CI247" s="69">
        <f t="shared" si="221"/>
        <v>0</v>
      </c>
      <c r="CJ247" s="69">
        <f t="shared" si="221"/>
        <v>0</v>
      </c>
      <c r="CK247" s="69">
        <f t="shared" si="221"/>
        <v>0</v>
      </c>
      <c r="CL247" s="69">
        <f t="shared" si="221"/>
        <v>0</v>
      </c>
      <c r="CM247" s="69">
        <f t="shared" si="221"/>
        <v>0</v>
      </c>
      <c r="CN247" s="69">
        <f t="shared" si="221"/>
        <v>0</v>
      </c>
      <c r="CO247" s="69">
        <f t="shared" si="221"/>
        <v>0</v>
      </c>
      <c r="CP247" s="69">
        <f t="shared" si="221"/>
        <v>0</v>
      </c>
      <c r="CQ247" s="69">
        <f t="shared" si="221"/>
        <v>0</v>
      </c>
      <c r="CR247" s="69">
        <f t="shared" si="221"/>
        <v>0</v>
      </c>
      <c r="CS247" s="69">
        <f t="shared" si="221"/>
        <v>0</v>
      </c>
      <c r="CT247" s="69">
        <f t="shared" si="221"/>
        <v>0</v>
      </c>
      <c r="CU247" s="69">
        <f t="shared" si="221"/>
        <v>0</v>
      </c>
      <c r="CV247" s="69">
        <f t="shared" si="221"/>
        <v>0</v>
      </c>
      <c r="CW247" s="69">
        <f t="shared" si="221"/>
        <v>0</v>
      </c>
      <c r="CX247" s="69">
        <f t="shared" si="221"/>
        <v>0</v>
      </c>
      <c r="CY247" s="69">
        <f t="shared" si="221"/>
        <v>0</v>
      </c>
      <c r="CZ247" s="69">
        <f t="shared" si="221"/>
        <v>0</v>
      </c>
      <c r="DA247" s="69">
        <f t="shared" si="221"/>
        <v>0</v>
      </c>
      <c r="DB247" s="69">
        <f t="shared" si="221"/>
        <v>0</v>
      </c>
      <c r="DC247" s="69">
        <f t="shared" si="221"/>
        <v>0</v>
      </c>
      <c r="DD247" s="69">
        <f t="shared" si="221"/>
        <v>0</v>
      </c>
      <c r="DE247" s="70">
        <f t="shared" ref="DE247:DE270" si="222">CR247</f>
        <v>0</v>
      </c>
      <c r="DF247" s="70">
        <f t="shared" ref="DF247:DF270" si="223">DD247</f>
        <v>0</v>
      </c>
      <c r="DG247"/>
      <c r="DH247"/>
    </row>
    <row r="248" spans="1:112" hidden="1" x14ac:dyDescent="0.2">
      <c r="A248" s="2"/>
      <c r="B248" s="35" t="s">
        <v>170</v>
      </c>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70">
        <f t="shared" ref="AE248:BB248" si="224">AE247+AE246</f>
        <v>0</v>
      </c>
      <c r="AF248" s="70">
        <f t="shared" si="224"/>
        <v>0</v>
      </c>
      <c r="AG248" s="70">
        <f t="shared" si="224"/>
        <v>0</v>
      </c>
      <c r="AH248" s="70">
        <f t="shared" si="224"/>
        <v>0</v>
      </c>
      <c r="AI248" s="70">
        <f t="shared" si="224"/>
        <v>0</v>
      </c>
      <c r="AJ248" s="70">
        <f t="shared" si="224"/>
        <v>0</v>
      </c>
      <c r="AK248" s="70">
        <f t="shared" si="224"/>
        <v>0</v>
      </c>
      <c r="AL248" s="70">
        <f t="shared" si="224"/>
        <v>0</v>
      </c>
      <c r="AM248" s="70">
        <f t="shared" si="224"/>
        <v>0</v>
      </c>
      <c r="AN248" s="70">
        <f t="shared" si="224"/>
        <v>0</v>
      </c>
      <c r="AO248" s="70">
        <f t="shared" si="224"/>
        <v>0</v>
      </c>
      <c r="AP248" s="70">
        <f t="shared" si="224"/>
        <v>0</v>
      </c>
      <c r="AQ248" s="70">
        <f t="shared" si="224"/>
        <v>0</v>
      </c>
      <c r="AR248" s="70">
        <f t="shared" si="224"/>
        <v>0</v>
      </c>
      <c r="AS248" s="70">
        <f t="shared" si="224"/>
        <v>0</v>
      </c>
      <c r="AT248" s="70">
        <f t="shared" si="224"/>
        <v>0</v>
      </c>
      <c r="AU248" s="70">
        <f t="shared" si="224"/>
        <v>0</v>
      </c>
      <c r="AV248" s="70">
        <f t="shared" si="224"/>
        <v>0</v>
      </c>
      <c r="AW248" s="70">
        <f t="shared" si="224"/>
        <v>0</v>
      </c>
      <c r="AX248" s="70">
        <f t="shared" si="224"/>
        <v>0</v>
      </c>
      <c r="AY248" s="70">
        <f t="shared" si="224"/>
        <v>0</v>
      </c>
      <c r="AZ248" s="70">
        <f t="shared" si="224"/>
        <v>0</v>
      </c>
      <c r="BA248" s="70">
        <f t="shared" si="224"/>
        <v>0</v>
      </c>
      <c r="BB248" s="70">
        <f t="shared" si="224"/>
        <v>0</v>
      </c>
      <c r="BC248" s="70">
        <f t="shared" si="216"/>
        <v>0</v>
      </c>
      <c r="BD248" s="70">
        <f t="shared" si="217"/>
        <v>0</v>
      </c>
      <c r="BE248" s="2"/>
      <c r="BF248" s="70">
        <f t="shared" ref="BF248:CC248" si="225">BF247+BF246</f>
        <v>0</v>
      </c>
      <c r="BG248" s="70">
        <f t="shared" si="225"/>
        <v>0</v>
      </c>
      <c r="BH248" s="70">
        <f t="shared" si="225"/>
        <v>0</v>
      </c>
      <c r="BI248" s="70">
        <f t="shared" si="225"/>
        <v>0</v>
      </c>
      <c r="BJ248" s="70">
        <f t="shared" si="225"/>
        <v>0</v>
      </c>
      <c r="BK248" s="70">
        <f t="shared" si="225"/>
        <v>0</v>
      </c>
      <c r="BL248" s="70">
        <f t="shared" si="225"/>
        <v>0</v>
      </c>
      <c r="BM248" s="70">
        <f t="shared" si="225"/>
        <v>0</v>
      </c>
      <c r="BN248" s="70">
        <f t="shared" si="225"/>
        <v>0</v>
      </c>
      <c r="BO248" s="70">
        <f t="shared" si="225"/>
        <v>0</v>
      </c>
      <c r="BP248" s="70">
        <f t="shared" si="225"/>
        <v>0</v>
      </c>
      <c r="BQ248" s="70">
        <f t="shared" si="225"/>
        <v>0</v>
      </c>
      <c r="BR248" s="70">
        <f t="shared" si="225"/>
        <v>0</v>
      </c>
      <c r="BS248" s="70">
        <f t="shared" si="225"/>
        <v>0</v>
      </c>
      <c r="BT248" s="70">
        <f t="shared" si="225"/>
        <v>0</v>
      </c>
      <c r="BU248" s="70">
        <f t="shared" si="225"/>
        <v>0</v>
      </c>
      <c r="BV248" s="70">
        <f t="shared" si="225"/>
        <v>0</v>
      </c>
      <c r="BW248" s="70">
        <f t="shared" si="225"/>
        <v>0</v>
      </c>
      <c r="BX248" s="70">
        <f t="shared" si="225"/>
        <v>0</v>
      </c>
      <c r="BY248" s="70">
        <f t="shared" si="225"/>
        <v>0</v>
      </c>
      <c r="BZ248" s="70">
        <f t="shared" si="225"/>
        <v>0</v>
      </c>
      <c r="CA248" s="70">
        <f t="shared" si="225"/>
        <v>0</v>
      </c>
      <c r="CB248" s="70">
        <f t="shared" si="225"/>
        <v>0</v>
      </c>
      <c r="CC248" s="70">
        <f t="shared" si="225"/>
        <v>0</v>
      </c>
      <c r="CD248" s="70">
        <f t="shared" si="219"/>
        <v>0</v>
      </c>
      <c r="CE248" s="70">
        <f t="shared" si="220"/>
        <v>0</v>
      </c>
      <c r="CF248" s="2"/>
      <c r="CG248" s="70">
        <f t="shared" ref="CG248:DD248" si="226">CG247+CG246</f>
        <v>0</v>
      </c>
      <c r="CH248" s="70">
        <f t="shared" si="226"/>
        <v>0</v>
      </c>
      <c r="CI248" s="70">
        <f t="shared" si="226"/>
        <v>0</v>
      </c>
      <c r="CJ248" s="70">
        <f t="shared" si="226"/>
        <v>0</v>
      </c>
      <c r="CK248" s="70">
        <f t="shared" si="226"/>
        <v>0</v>
      </c>
      <c r="CL248" s="70">
        <f t="shared" si="226"/>
        <v>0</v>
      </c>
      <c r="CM248" s="70">
        <f t="shared" si="226"/>
        <v>0</v>
      </c>
      <c r="CN248" s="70">
        <f t="shared" si="226"/>
        <v>0</v>
      </c>
      <c r="CO248" s="70">
        <f t="shared" si="226"/>
        <v>0</v>
      </c>
      <c r="CP248" s="70">
        <f t="shared" si="226"/>
        <v>0</v>
      </c>
      <c r="CQ248" s="70">
        <f t="shared" si="226"/>
        <v>0</v>
      </c>
      <c r="CR248" s="70">
        <f t="shared" si="226"/>
        <v>0</v>
      </c>
      <c r="CS248" s="70">
        <f t="shared" si="226"/>
        <v>0</v>
      </c>
      <c r="CT248" s="70">
        <f t="shared" si="226"/>
        <v>0</v>
      </c>
      <c r="CU248" s="70">
        <f t="shared" si="226"/>
        <v>0</v>
      </c>
      <c r="CV248" s="70">
        <f t="shared" si="226"/>
        <v>0</v>
      </c>
      <c r="CW248" s="70">
        <f t="shared" si="226"/>
        <v>0</v>
      </c>
      <c r="CX248" s="70">
        <f t="shared" si="226"/>
        <v>0</v>
      </c>
      <c r="CY248" s="70">
        <f t="shared" si="226"/>
        <v>0</v>
      </c>
      <c r="CZ248" s="70">
        <f t="shared" si="226"/>
        <v>0</v>
      </c>
      <c r="DA248" s="70">
        <f t="shared" si="226"/>
        <v>0</v>
      </c>
      <c r="DB248" s="70">
        <f t="shared" si="226"/>
        <v>0</v>
      </c>
      <c r="DC248" s="70">
        <f t="shared" si="226"/>
        <v>0</v>
      </c>
      <c r="DD248" s="70">
        <f t="shared" si="226"/>
        <v>0</v>
      </c>
      <c r="DE248" s="70">
        <f t="shared" si="222"/>
        <v>0</v>
      </c>
      <c r="DF248" s="70">
        <f t="shared" si="223"/>
        <v>0</v>
      </c>
      <c r="DG248"/>
      <c r="DH248"/>
    </row>
    <row r="249" spans="1:112" hidden="1" x14ac:dyDescent="0.2">
      <c r="A249" s="2"/>
      <c r="B249" s="35" t="s">
        <v>171</v>
      </c>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69">
        <f t="shared" ref="AE249:BB249" si="227">AE248</f>
        <v>0</v>
      </c>
      <c r="AF249" s="69">
        <f t="shared" si="227"/>
        <v>0</v>
      </c>
      <c r="AG249" s="69">
        <f t="shared" si="227"/>
        <v>0</v>
      </c>
      <c r="AH249" s="69">
        <f t="shared" si="227"/>
        <v>0</v>
      </c>
      <c r="AI249" s="69">
        <f t="shared" si="227"/>
        <v>0</v>
      </c>
      <c r="AJ249" s="69">
        <f t="shared" si="227"/>
        <v>0</v>
      </c>
      <c r="AK249" s="69">
        <f t="shared" si="227"/>
        <v>0</v>
      </c>
      <c r="AL249" s="69">
        <f t="shared" si="227"/>
        <v>0</v>
      </c>
      <c r="AM249" s="69">
        <f t="shared" si="227"/>
        <v>0</v>
      </c>
      <c r="AN249" s="69">
        <f t="shared" si="227"/>
        <v>0</v>
      </c>
      <c r="AO249" s="69">
        <f t="shared" si="227"/>
        <v>0</v>
      </c>
      <c r="AP249" s="69">
        <f t="shared" si="227"/>
        <v>0</v>
      </c>
      <c r="AQ249" s="69">
        <f t="shared" si="227"/>
        <v>0</v>
      </c>
      <c r="AR249" s="69">
        <f t="shared" si="227"/>
        <v>0</v>
      </c>
      <c r="AS249" s="69">
        <f t="shared" si="227"/>
        <v>0</v>
      </c>
      <c r="AT249" s="69">
        <f t="shared" si="227"/>
        <v>0</v>
      </c>
      <c r="AU249" s="69">
        <f t="shared" si="227"/>
        <v>0</v>
      </c>
      <c r="AV249" s="69">
        <f t="shared" si="227"/>
        <v>0</v>
      </c>
      <c r="AW249" s="69">
        <f t="shared" si="227"/>
        <v>0</v>
      </c>
      <c r="AX249" s="69">
        <f t="shared" si="227"/>
        <v>0</v>
      </c>
      <c r="AY249" s="69">
        <f t="shared" si="227"/>
        <v>0</v>
      </c>
      <c r="AZ249" s="69">
        <f t="shared" si="227"/>
        <v>0</v>
      </c>
      <c r="BA249" s="69">
        <f t="shared" si="227"/>
        <v>0</v>
      </c>
      <c r="BB249" s="69">
        <f t="shared" si="227"/>
        <v>0</v>
      </c>
      <c r="BC249" s="70">
        <f t="shared" si="216"/>
        <v>0</v>
      </c>
      <c r="BD249" s="70">
        <f t="shared" si="217"/>
        <v>0</v>
      </c>
      <c r="BE249" s="2"/>
      <c r="BF249" s="69">
        <f t="shared" ref="BF249:CC249" si="228">BF248</f>
        <v>0</v>
      </c>
      <c r="BG249" s="69">
        <f t="shared" si="228"/>
        <v>0</v>
      </c>
      <c r="BH249" s="69">
        <f t="shared" si="228"/>
        <v>0</v>
      </c>
      <c r="BI249" s="69">
        <f t="shared" si="228"/>
        <v>0</v>
      </c>
      <c r="BJ249" s="69">
        <f t="shared" si="228"/>
        <v>0</v>
      </c>
      <c r="BK249" s="69">
        <f t="shared" si="228"/>
        <v>0</v>
      </c>
      <c r="BL249" s="69">
        <f t="shared" si="228"/>
        <v>0</v>
      </c>
      <c r="BM249" s="69">
        <f t="shared" si="228"/>
        <v>0</v>
      </c>
      <c r="BN249" s="69">
        <f t="shared" si="228"/>
        <v>0</v>
      </c>
      <c r="BO249" s="69">
        <f t="shared" si="228"/>
        <v>0</v>
      </c>
      <c r="BP249" s="69">
        <f t="shared" si="228"/>
        <v>0</v>
      </c>
      <c r="BQ249" s="69">
        <f t="shared" si="228"/>
        <v>0</v>
      </c>
      <c r="BR249" s="69">
        <f t="shared" si="228"/>
        <v>0</v>
      </c>
      <c r="BS249" s="69">
        <f t="shared" si="228"/>
        <v>0</v>
      </c>
      <c r="BT249" s="69">
        <f t="shared" si="228"/>
        <v>0</v>
      </c>
      <c r="BU249" s="69">
        <f t="shared" si="228"/>
        <v>0</v>
      </c>
      <c r="BV249" s="69">
        <f t="shared" si="228"/>
        <v>0</v>
      </c>
      <c r="BW249" s="69">
        <f t="shared" si="228"/>
        <v>0</v>
      </c>
      <c r="BX249" s="69">
        <f t="shared" si="228"/>
        <v>0</v>
      </c>
      <c r="BY249" s="69">
        <f t="shared" si="228"/>
        <v>0</v>
      </c>
      <c r="BZ249" s="69">
        <f t="shared" si="228"/>
        <v>0</v>
      </c>
      <c r="CA249" s="69">
        <f t="shared" si="228"/>
        <v>0</v>
      </c>
      <c r="CB249" s="69">
        <f t="shared" si="228"/>
        <v>0</v>
      </c>
      <c r="CC249" s="69">
        <f t="shared" si="228"/>
        <v>0</v>
      </c>
      <c r="CD249" s="70">
        <f t="shared" si="219"/>
        <v>0</v>
      </c>
      <c r="CE249" s="70">
        <f t="shared" si="220"/>
        <v>0</v>
      </c>
      <c r="CF249" s="2"/>
      <c r="CG249" s="69">
        <f t="shared" ref="CG249:DD249" si="229">CG248</f>
        <v>0</v>
      </c>
      <c r="CH249" s="69">
        <f t="shared" si="229"/>
        <v>0</v>
      </c>
      <c r="CI249" s="69">
        <f t="shared" si="229"/>
        <v>0</v>
      </c>
      <c r="CJ249" s="69">
        <f t="shared" si="229"/>
        <v>0</v>
      </c>
      <c r="CK249" s="69">
        <f t="shared" si="229"/>
        <v>0</v>
      </c>
      <c r="CL249" s="69">
        <f t="shared" si="229"/>
        <v>0</v>
      </c>
      <c r="CM249" s="69">
        <f t="shared" si="229"/>
        <v>0</v>
      </c>
      <c r="CN249" s="69">
        <f t="shared" si="229"/>
        <v>0</v>
      </c>
      <c r="CO249" s="69">
        <f t="shared" si="229"/>
        <v>0</v>
      </c>
      <c r="CP249" s="69">
        <f t="shared" si="229"/>
        <v>0</v>
      </c>
      <c r="CQ249" s="69">
        <f t="shared" si="229"/>
        <v>0</v>
      </c>
      <c r="CR249" s="69">
        <f t="shared" si="229"/>
        <v>0</v>
      </c>
      <c r="CS249" s="69">
        <f t="shared" si="229"/>
        <v>0</v>
      </c>
      <c r="CT249" s="69">
        <f t="shared" si="229"/>
        <v>0</v>
      </c>
      <c r="CU249" s="69">
        <f t="shared" si="229"/>
        <v>0</v>
      </c>
      <c r="CV249" s="69">
        <f t="shared" si="229"/>
        <v>0</v>
      </c>
      <c r="CW249" s="69">
        <f t="shared" si="229"/>
        <v>0</v>
      </c>
      <c r="CX249" s="69">
        <f t="shared" si="229"/>
        <v>0</v>
      </c>
      <c r="CY249" s="69">
        <f t="shared" si="229"/>
        <v>0</v>
      </c>
      <c r="CZ249" s="69">
        <f t="shared" si="229"/>
        <v>0</v>
      </c>
      <c r="DA249" s="69">
        <f t="shared" si="229"/>
        <v>0</v>
      </c>
      <c r="DB249" s="69">
        <f t="shared" si="229"/>
        <v>0</v>
      </c>
      <c r="DC249" s="69">
        <f t="shared" si="229"/>
        <v>0</v>
      </c>
      <c r="DD249" s="69">
        <f t="shared" si="229"/>
        <v>0</v>
      </c>
      <c r="DE249" s="70">
        <f t="shared" si="222"/>
        <v>0</v>
      </c>
      <c r="DF249" s="70">
        <f t="shared" si="223"/>
        <v>0</v>
      </c>
      <c r="DG249"/>
      <c r="DH249"/>
    </row>
    <row r="250" spans="1:112" hidden="1" x14ac:dyDescent="0.2">
      <c r="A250" s="2"/>
      <c r="B250" s="35" t="s">
        <v>172</v>
      </c>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69">
        <f t="shared" ref="AE250:BB250" si="230">AE222</f>
        <v>0</v>
      </c>
      <c r="AF250" s="69">
        <f t="shared" si="230"/>
        <v>0</v>
      </c>
      <c r="AG250" s="69">
        <f t="shared" si="230"/>
        <v>0</v>
      </c>
      <c r="AH250" s="69">
        <f t="shared" si="230"/>
        <v>0</v>
      </c>
      <c r="AI250" s="69">
        <f t="shared" si="230"/>
        <v>0</v>
      </c>
      <c r="AJ250" s="69">
        <f t="shared" si="230"/>
        <v>0</v>
      </c>
      <c r="AK250" s="69">
        <f t="shared" si="230"/>
        <v>0</v>
      </c>
      <c r="AL250" s="69">
        <f t="shared" si="230"/>
        <v>0</v>
      </c>
      <c r="AM250" s="69">
        <f t="shared" si="230"/>
        <v>0</v>
      </c>
      <c r="AN250" s="69">
        <f t="shared" si="230"/>
        <v>0</v>
      </c>
      <c r="AO250" s="69">
        <f t="shared" si="230"/>
        <v>0</v>
      </c>
      <c r="AP250" s="69">
        <f t="shared" si="230"/>
        <v>0</v>
      </c>
      <c r="AQ250" s="69">
        <f t="shared" si="230"/>
        <v>0</v>
      </c>
      <c r="AR250" s="69">
        <f t="shared" si="230"/>
        <v>0</v>
      </c>
      <c r="AS250" s="69">
        <f t="shared" si="230"/>
        <v>0</v>
      </c>
      <c r="AT250" s="69">
        <f t="shared" si="230"/>
        <v>0</v>
      </c>
      <c r="AU250" s="69">
        <f t="shared" si="230"/>
        <v>0</v>
      </c>
      <c r="AV250" s="69">
        <f t="shared" si="230"/>
        <v>0</v>
      </c>
      <c r="AW250" s="69">
        <f t="shared" si="230"/>
        <v>0</v>
      </c>
      <c r="AX250" s="69">
        <f t="shared" si="230"/>
        <v>0</v>
      </c>
      <c r="AY250" s="69">
        <f t="shared" si="230"/>
        <v>0</v>
      </c>
      <c r="AZ250" s="69">
        <f t="shared" si="230"/>
        <v>0</v>
      </c>
      <c r="BA250" s="69">
        <f t="shared" si="230"/>
        <v>0</v>
      </c>
      <c r="BB250" s="69">
        <f t="shared" si="230"/>
        <v>0</v>
      </c>
      <c r="BC250" s="70">
        <f t="shared" si="216"/>
        <v>0</v>
      </c>
      <c r="BD250" s="70">
        <f t="shared" si="217"/>
        <v>0</v>
      </c>
      <c r="BE250" s="2"/>
      <c r="BF250" s="69">
        <f t="shared" ref="BF250:CC250" si="231">BF222</f>
        <v>0</v>
      </c>
      <c r="BG250" s="69">
        <f t="shared" si="231"/>
        <v>0</v>
      </c>
      <c r="BH250" s="69">
        <f t="shared" si="231"/>
        <v>0</v>
      </c>
      <c r="BI250" s="69">
        <f t="shared" si="231"/>
        <v>0</v>
      </c>
      <c r="BJ250" s="69">
        <f t="shared" si="231"/>
        <v>0</v>
      </c>
      <c r="BK250" s="69">
        <f t="shared" si="231"/>
        <v>0</v>
      </c>
      <c r="BL250" s="69">
        <f t="shared" si="231"/>
        <v>0</v>
      </c>
      <c r="BM250" s="69">
        <f t="shared" si="231"/>
        <v>0</v>
      </c>
      <c r="BN250" s="69">
        <f t="shared" si="231"/>
        <v>0</v>
      </c>
      <c r="BO250" s="69">
        <f t="shared" si="231"/>
        <v>0</v>
      </c>
      <c r="BP250" s="69">
        <f t="shared" si="231"/>
        <v>0</v>
      </c>
      <c r="BQ250" s="69">
        <f t="shared" si="231"/>
        <v>0</v>
      </c>
      <c r="BR250" s="69">
        <f t="shared" si="231"/>
        <v>0</v>
      </c>
      <c r="BS250" s="69">
        <f t="shared" si="231"/>
        <v>0</v>
      </c>
      <c r="BT250" s="69">
        <f t="shared" si="231"/>
        <v>0</v>
      </c>
      <c r="BU250" s="69">
        <f t="shared" si="231"/>
        <v>0</v>
      </c>
      <c r="BV250" s="69">
        <f t="shared" si="231"/>
        <v>0</v>
      </c>
      <c r="BW250" s="69">
        <f t="shared" si="231"/>
        <v>0</v>
      </c>
      <c r="BX250" s="69">
        <f t="shared" si="231"/>
        <v>0</v>
      </c>
      <c r="BY250" s="69">
        <f t="shared" si="231"/>
        <v>0</v>
      </c>
      <c r="BZ250" s="69">
        <f t="shared" si="231"/>
        <v>0</v>
      </c>
      <c r="CA250" s="69">
        <f t="shared" si="231"/>
        <v>0</v>
      </c>
      <c r="CB250" s="69">
        <f t="shared" si="231"/>
        <v>0</v>
      </c>
      <c r="CC250" s="69">
        <f t="shared" si="231"/>
        <v>0</v>
      </c>
      <c r="CD250" s="70">
        <f t="shared" si="219"/>
        <v>0</v>
      </c>
      <c r="CE250" s="70">
        <f t="shared" si="220"/>
        <v>0</v>
      </c>
      <c r="CF250" s="2"/>
      <c r="CG250" s="69">
        <f t="shared" ref="CG250:DD250" si="232">CG222</f>
        <v>0</v>
      </c>
      <c r="CH250" s="69">
        <f t="shared" si="232"/>
        <v>0</v>
      </c>
      <c r="CI250" s="69">
        <f t="shared" si="232"/>
        <v>0</v>
      </c>
      <c r="CJ250" s="69">
        <f t="shared" si="232"/>
        <v>0</v>
      </c>
      <c r="CK250" s="69">
        <f t="shared" si="232"/>
        <v>0</v>
      </c>
      <c r="CL250" s="69">
        <f t="shared" si="232"/>
        <v>0</v>
      </c>
      <c r="CM250" s="69">
        <f t="shared" si="232"/>
        <v>0</v>
      </c>
      <c r="CN250" s="69">
        <f t="shared" si="232"/>
        <v>0</v>
      </c>
      <c r="CO250" s="69">
        <f t="shared" si="232"/>
        <v>0</v>
      </c>
      <c r="CP250" s="69">
        <f t="shared" si="232"/>
        <v>0</v>
      </c>
      <c r="CQ250" s="69">
        <f t="shared" si="232"/>
        <v>0</v>
      </c>
      <c r="CR250" s="69">
        <f t="shared" si="232"/>
        <v>0</v>
      </c>
      <c r="CS250" s="69">
        <f t="shared" si="232"/>
        <v>0</v>
      </c>
      <c r="CT250" s="69">
        <f t="shared" si="232"/>
        <v>0</v>
      </c>
      <c r="CU250" s="69">
        <f t="shared" si="232"/>
        <v>0</v>
      </c>
      <c r="CV250" s="69">
        <f t="shared" si="232"/>
        <v>0</v>
      </c>
      <c r="CW250" s="69">
        <f t="shared" si="232"/>
        <v>0</v>
      </c>
      <c r="CX250" s="69">
        <f t="shared" si="232"/>
        <v>0</v>
      </c>
      <c r="CY250" s="69">
        <f t="shared" si="232"/>
        <v>0</v>
      </c>
      <c r="CZ250" s="69">
        <f t="shared" si="232"/>
        <v>0</v>
      </c>
      <c r="DA250" s="69">
        <f t="shared" si="232"/>
        <v>0</v>
      </c>
      <c r="DB250" s="69">
        <f t="shared" si="232"/>
        <v>0</v>
      </c>
      <c r="DC250" s="69">
        <f t="shared" si="232"/>
        <v>0</v>
      </c>
      <c r="DD250" s="69">
        <f t="shared" si="232"/>
        <v>0</v>
      </c>
      <c r="DE250" s="70">
        <f t="shared" si="222"/>
        <v>0</v>
      </c>
      <c r="DF250" s="70">
        <f t="shared" si="223"/>
        <v>0</v>
      </c>
      <c r="DG250"/>
      <c r="DH250"/>
    </row>
    <row r="251" spans="1:112" hidden="1" x14ac:dyDescent="0.2">
      <c r="A251" s="2"/>
      <c r="B251" s="35" t="s">
        <v>173</v>
      </c>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69">
        <f t="shared" ref="AE251:BB251" si="233">AE228</f>
        <v>0</v>
      </c>
      <c r="AF251" s="69">
        <f t="shared" si="233"/>
        <v>0</v>
      </c>
      <c r="AG251" s="69">
        <f t="shared" si="233"/>
        <v>0</v>
      </c>
      <c r="AH251" s="69">
        <f t="shared" si="233"/>
        <v>0</v>
      </c>
      <c r="AI251" s="69">
        <f t="shared" si="233"/>
        <v>0</v>
      </c>
      <c r="AJ251" s="69">
        <f t="shared" si="233"/>
        <v>0</v>
      </c>
      <c r="AK251" s="69">
        <f t="shared" si="233"/>
        <v>0</v>
      </c>
      <c r="AL251" s="69">
        <f t="shared" si="233"/>
        <v>0</v>
      </c>
      <c r="AM251" s="69">
        <f t="shared" si="233"/>
        <v>0</v>
      </c>
      <c r="AN251" s="69">
        <f t="shared" si="233"/>
        <v>0</v>
      </c>
      <c r="AO251" s="69">
        <f t="shared" si="233"/>
        <v>0</v>
      </c>
      <c r="AP251" s="69">
        <f t="shared" si="233"/>
        <v>0</v>
      </c>
      <c r="AQ251" s="69">
        <f t="shared" si="233"/>
        <v>0</v>
      </c>
      <c r="AR251" s="69">
        <f t="shared" si="233"/>
        <v>0</v>
      </c>
      <c r="AS251" s="69">
        <f t="shared" si="233"/>
        <v>0</v>
      </c>
      <c r="AT251" s="69">
        <f t="shared" si="233"/>
        <v>0</v>
      </c>
      <c r="AU251" s="69">
        <f t="shared" si="233"/>
        <v>0</v>
      </c>
      <c r="AV251" s="69">
        <f t="shared" si="233"/>
        <v>0</v>
      </c>
      <c r="AW251" s="69">
        <f t="shared" si="233"/>
        <v>0</v>
      </c>
      <c r="AX251" s="69">
        <f t="shared" si="233"/>
        <v>0</v>
      </c>
      <c r="AY251" s="69">
        <f t="shared" si="233"/>
        <v>0</v>
      </c>
      <c r="AZ251" s="69">
        <f t="shared" si="233"/>
        <v>0</v>
      </c>
      <c r="BA251" s="69">
        <f t="shared" si="233"/>
        <v>0</v>
      </c>
      <c r="BB251" s="69">
        <f t="shared" si="233"/>
        <v>0</v>
      </c>
      <c r="BC251" s="70">
        <f t="shared" si="216"/>
        <v>0</v>
      </c>
      <c r="BD251" s="70">
        <f t="shared" si="217"/>
        <v>0</v>
      </c>
      <c r="BE251" s="2"/>
      <c r="BF251" s="69">
        <f t="shared" ref="BF251:CC251" si="234">BF228</f>
        <v>0</v>
      </c>
      <c r="BG251" s="69">
        <f t="shared" si="234"/>
        <v>0</v>
      </c>
      <c r="BH251" s="69">
        <f t="shared" si="234"/>
        <v>0</v>
      </c>
      <c r="BI251" s="69">
        <f t="shared" si="234"/>
        <v>0</v>
      </c>
      <c r="BJ251" s="69">
        <f t="shared" si="234"/>
        <v>0</v>
      </c>
      <c r="BK251" s="69">
        <f t="shared" si="234"/>
        <v>0</v>
      </c>
      <c r="BL251" s="69">
        <f t="shared" si="234"/>
        <v>0</v>
      </c>
      <c r="BM251" s="69">
        <f t="shared" si="234"/>
        <v>0</v>
      </c>
      <c r="BN251" s="69">
        <f t="shared" si="234"/>
        <v>0</v>
      </c>
      <c r="BO251" s="69">
        <f t="shared" si="234"/>
        <v>0</v>
      </c>
      <c r="BP251" s="69">
        <f t="shared" si="234"/>
        <v>0</v>
      </c>
      <c r="BQ251" s="69">
        <f t="shared" si="234"/>
        <v>0</v>
      </c>
      <c r="BR251" s="69">
        <f t="shared" si="234"/>
        <v>0</v>
      </c>
      <c r="BS251" s="69">
        <f t="shared" si="234"/>
        <v>0</v>
      </c>
      <c r="BT251" s="69">
        <f t="shared" si="234"/>
        <v>0</v>
      </c>
      <c r="BU251" s="69">
        <f t="shared" si="234"/>
        <v>0</v>
      </c>
      <c r="BV251" s="69">
        <f t="shared" si="234"/>
        <v>0</v>
      </c>
      <c r="BW251" s="69">
        <f t="shared" si="234"/>
        <v>0</v>
      </c>
      <c r="BX251" s="69">
        <f t="shared" si="234"/>
        <v>0</v>
      </c>
      <c r="BY251" s="69">
        <f t="shared" si="234"/>
        <v>0</v>
      </c>
      <c r="BZ251" s="69">
        <f t="shared" si="234"/>
        <v>0</v>
      </c>
      <c r="CA251" s="69">
        <f t="shared" si="234"/>
        <v>0</v>
      </c>
      <c r="CB251" s="69">
        <f t="shared" si="234"/>
        <v>0</v>
      </c>
      <c r="CC251" s="69">
        <f t="shared" si="234"/>
        <v>0</v>
      </c>
      <c r="CD251" s="70">
        <f t="shared" si="219"/>
        <v>0</v>
      </c>
      <c r="CE251" s="70">
        <f t="shared" si="220"/>
        <v>0</v>
      </c>
      <c r="CF251" s="2"/>
      <c r="CG251" s="69">
        <f t="shared" ref="CG251:DD251" si="235">CG228</f>
        <v>0</v>
      </c>
      <c r="CH251" s="69">
        <f t="shared" si="235"/>
        <v>0</v>
      </c>
      <c r="CI251" s="69">
        <f t="shared" si="235"/>
        <v>0</v>
      </c>
      <c r="CJ251" s="69">
        <f t="shared" si="235"/>
        <v>0</v>
      </c>
      <c r="CK251" s="69">
        <f t="shared" si="235"/>
        <v>0</v>
      </c>
      <c r="CL251" s="69">
        <f t="shared" si="235"/>
        <v>0</v>
      </c>
      <c r="CM251" s="69">
        <f t="shared" si="235"/>
        <v>0</v>
      </c>
      <c r="CN251" s="69">
        <f t="shared" si="235"/>
        <v>0</v>
      </c>
      <c r="CO251" s="69">
        <f t="shared" si="235"/>
        <v>0</v>
      </c>
      <c r="CP251" s="69">
        <f t="shared" si="235"/>
        <v>0</v>
      </c>
      <c r="CQ251" s="69">
        <f t="shared" si="235"/>
        <v>0</v>
      </c>
      <c r="CR251" s="69">
        <f t="shared" si="235"/>
        <v>0</v>
      </c>
      <c r="CS251" s="69">
        <f t="shared" si="235"/>
        <v>0</v>
      </c>
      <c r="CT251" s="69">
        <f t="shared" si="235"/>
        <v>0</v>
      </c>
      <c r="CU251" s="69">
        <f t="shared" si="235"/>
        <v>0</v>
      </c>
      <c r="CV251" s="69">
        <f t="shared" si="235"/>
        <v>0</v>
      </c>
      <c r="CW251" s="69">
        <f t="shared" si="235"/>
        <v>0</v>
      </c>
      <c r="CX251" s="69">
        <f t="shared" si="235"/>
        <v>0</v>
      </c>
      <c r="CY251" s="69">
        <f t="shared" si="235"/>
        <v>0</v>
      </c>
      <c r="CZ251" s="69">
        <f t="shared" si="235"/>
        <v>0</v>
      </c>
      <c r="DA251" s="69">
        <f t="shared" si="235"/>
        <v>0</v>
      </c>
      <c r="DB251" s="69">
        <f t="shared" si="235"/>
        <v>0</v>
      </c>
      <c r="DC251" s="69">
        <f t="shared" si="235"/>
        <v>0</v>
      </c>
      <c r="DD251" s="69">
        <f t="shared" si="235"/>
        <v>0</v>
      </c>
      <c r="DE251" s="70">
        <f t="shared" si="222"/>
        <v>0</v>
      </c>
      <c r="DF251" s="70">
        <f t="shared" si="223"/>
        <v>0</v>
      </c>
      <c r="DG251"/>
      <c r="DH251"/>
    </row>
    <row r="252" spans="1:112" hidden="1" x14ac:dyDescent="0.2">
      <c r="A252" s="2"/>
      <c r="B252" s="35" t="s">
        <v>174</v>
      </c>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70">
        <f t="shared" ref="AE252:BB252" si="236">AE249+AE250+AE251</f>
        <v>0</v>
      </c>
      <c r="AF252" s="70">
        <f t="shared" si="236"/>
        <v>0</v>
      </c>
      <c r="AG252" s="70">
        <f t="shared" si="236"/>
        <v>0</v>
      </c>
      <c r="AH252" s="70">
        <f t="shared" si="236"/>
        <v>0</v>
      </c>
      <c r="AI252" s="70">
        <f t="shared" si="236"/>
        <v>0</v>
      </c>
      <c r="AJ252" s="70">
        <f t="shared" si="236"/>
        <v>0</v>
      </c>
      <c r="AK252" s="70">
        <f t="shared" si="236"/>
        <v>0</v>
      </c>
      <c r="AL252" s="70">
        <f t="shared" si="236"/>
        <v>0</v>
      </c>
      <c r="AM252" s="70">
        <f t="shared" si="236"/>
        <v>0</v>
      </c>
      <c r="AN252" s="70">
        <f t="shared" si="236"/>
        <v>0</v>
      </c>
      <c r="AO252" s="70">
        <f t="shared" si="236"/>
        <v>0</v>
      </c>
      <c r="AP252" s="70">
        <f t="shared" si="236"/>
        <v>0</v>
      </c>
      <c r="AQ252" s="70">
        <f t="shared" si="236"/>
        <v>0</v>
      </c>
      <c r="AR252" s="70">
        <f t="shared" si="236"/>
        <v>0</v>
      </c>
      <c r="AS252" s="70">
        <f t="shared" si="236"/>
        <v>0</v>
      </c>
      <c r="AT252" s="70">
        <f t="shared" si="236"/>
        <v>0</v>
      </c>
      <c r="AU252" s="70">
        <f t="shared" si="236"/>
        <v>0</v>
      </c>
      <c r="AV252" s="70">
        <f t="shared" si="236"/>
        <v>0</v>
      </c>
      <c r="AW252" s="70">
        <f t="shared" si="236"/>
        <v>0</v>
      </c>
      <c r="AX252" s="70">
        <f t="shared" si="236"/>
        <v>0</v>
      </c>
      <c r="AY252" s="70">
        <f t="shared" si="236"/>
        <v>0</v>
      </c>
      <c r="AZ252" s="70">
        <f t="shared" si="236"/>
        <v>0</v>
      </c>
      <c r="BA252" s="70">
        <f t="shared" si="236"/>
        <v>0</v>
      </c>
      <c r="BB252" s="70">
        <f t="shared" si="236"/>
        <v>0</v>
      </c>
      <c r="BC252" s="70">
        <f t="shared" si="216"/>
        <v>0</v>
      </c>
      <c r="BD252" s="70">
        <f t="shared" si="217"/>
        <v>0</v>
      </c>
      <c r="BE252" s="2"/>
      <c r="BF252" s="70">
        <f t="shared" ref="BF252:CC252" si="237">BF249+BF250+BF251</f>
        <v>0</v>
      </c>
      <c r="BG252" s="70">
        <f t="shared" si="237"/>
        <v>0</v>
      </c>
      <c r="BH252" s="70">
        <f t="shared" si="237"/>
        <v>0</v>
      </c>
      <c r="BI252" s="70">
        <f t="shared" si="237"/>
        <v>0</v>
      </c>
      <c r="BJ252" s="70">
        <f t="shared" si="237"/>
        <v>0</v>
      </c>
      <c r="BK252" s="70">
        <f t="shared" si="237"/>
        <v>0</v>
      </c>
      <c r="BL252" s="70">
        <f t="shared" si="237"/>
        <v>0</v>
      </c>
      <c r="BM252" s="70">
        <f t="shared" si="237"/>
        <v>0</v>
      </c>
      <c r="BN252" s="70">
        <f t="shared" si="237"/>
        <v>0</v>
      </c>
      <c r="BO252" s="70">
        <f t="shared" si="237"/>
        <v>0</v>
      </c>
      <c r="BP252" s="70">
        <f t="shared" si="237"/>
        <v>0</v>
      </c>
      <c r="BQ252" s="70">
        <f t="shared" si="237"/>
        <v>0</v>
      </c>
      <c r="BR252" s="70">
        <f t="shared" si="237"/>
        <v>0</v>
      </c>
      <c r="BS252" s="70">
        <f t="shared" si="237"/>
        <v>0</v>
      </c>
      <c r="BT252" s="70">
        <f t="shared" si="237"/>
        <v>0</v>
      </c>
      <c r="BU252" s="70">
        <f t="shared" si="237"/>
        <v>0</v>
      </c>
      <c r="BV252" s="70">
        <f t="shared" si="237"/>
        <v>0</v>
      </c>
      <c r="BW252" s="70">
        <f t="shared" si="237"/>
        <v>0</v>
      </c>
      <c r="BX252" s="70">
        <f t="shared" si="237"/>
        <v>0</v>
      </c>
      <c r="BY252" s="70">
        <f t="shared" si="237"/>
        <v>0</v>
      </c>
      <c r="BZ252" s="70">
        <f t="shared" si="237"/>
        <v>0</v>
      </c>
      <c r="CA252" s="70">
        <f t="shared" si="237"/>
        <v>0</v>
      </c>
      <c r="CB252" s="70">
        <f t="shared" si="237"/>
        <v>0</v>
      </c>
      <c r="CC252" s="70">
        <f t="shared" si="237"/>
        <v>0</v>
      </c>
      <c r="CD252" s="70">
        <f t="shared" si="219"/>
        <v>0</v>
      </c>
      <c r="CE252" s="70">
        <f t="shared" si="220"/>
        <v>0</v>
      </c>
      <c r="CF252" s="2"/>
      <c r="CG252" s="70">
        <f t="shared" ref="CG252:DD252" si="238">CG249+CG250+CG251</f>
        <v>0</v>
      </c>
      <c r="CH252" s="70">
        <f t="shared" si="238"/>
        <v>0</v>
      </c>
      <c r="CI252" s="70">
        <f t="shared" si="238"/>
        <v>0</v>
      </c>
      <c r="CJ252" s="70">
        <f t="shared" si="238"/>
        <v>0</v>
      </c>
      <c r="CK252" s="70">
        <f t="shared" si="238"/>
        <v>0</v>
      </c>
      <c r="CL252" s="70">
        <f t="shared" si="238"/>
        <v>0</v>
      </c>
      <c r="CM252" s="70">
        <f t="shared" si="238"/>
        <v>0</v>
      </c>
      <c r="CN252" s="70">
        <f t="shared" si="238"/>
        <v>0</v>
      </c>
      <c r="CO252" s="70">
        <f t="shared" si="238"/>
        <v>0</v>
      </c>
      <c r="CP252" s="70">
        <f t="shared" si="238"/>
        <v>0</v>
      </c>
      <c r="CQ252" s="70">
        <f t="shared" si="238"/>
        <v>0</v>
      </c>
      <c r="CR252" s="70">
        <f t="shared" si="238"/>
        <v>0</v>
      </c>
      <c r="CS252" s="70">
        <f t="shared" si="238"/>
        <v>0</v>
      </c>
      <c r="CT252" s="70">
        <f t="shared" si="238"/>
        <v>0</v>
      </c>
      <c r="CU252" s="70">
        <f t="shared" si="238"/>
        <v>0</v>
      </c>
      <c r="CV252" s="70">
        <f t="shared" si="238"/>
        <v>0</v>
      </c>
      <c r="CW252" s="70">
        <f t="shared" si="238"/>
        <v>0</v>
      </c>
      <c r="CX252" s="70">
        <f t="shared" si="238"/>
        <v>0</v>
      </c>
      <c r="CY252" s="70">
        <f t="shared" si="238"/>
        <v>0</v>
      </c>
      <c r="CZ252" s="70">
        <f t="shared" si="238"/>
        <v>0</v>
      </c>
      <c r="DA252" s="70">
        <f t="shared" si="238"/>
        <v>0</v>
      </c>
      <c r="DB252" s="70">
        <f t="shared" si="238"/>
        <v>0</v>
      </c>
      <c r="DC252" s="70">
        <f t="shared" si="238"/>
        <v>0</v>
      </c>
      <c r="DD252" s="70">
        <f t="shared" si="238"/>
        <v>0</v>
      </c>
      <c r="DE252" s="70">
        <f t="shared" si="222"/>
        <v>0</v>
      </c>
      <c r="DF252" s="70">
        <f t="shared" si="223"/>
        <v>0</v>
      </c>
      <c r="DG252"/>
      <c r="DH252"/>
    </row>
    <row r="253" spans="1:112" hidden="1" x14ac:dyDescent="0.2">
      <c r="A253" s="2"/>
      <c r="B253" s="35" t="s">
        <v>175</v>
      </c>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69">
        <f>inp_open_fa</f>
        <v>0</v>
      </c>
      <c r="AF253" s="69">
        <f t="shared" ref="AF253:BB253" si="239">AE254</f>
        <v>0</v>
      </c>
      <c r="AG253" s="69">
        <f t="shared" si="239"/>
        <v>0</v>
      </c>
      <c r="AH253" s="69">
        <f t="shared" si="239"/>
        <v>0</v>
      </c>
      <c r="AI253" s="69">
        <f t="shared" si="239"/>
        <v>0</v>
      </c>
      <c r="AJ253" s="69">
        <f t="shared" si="239"/>
        <v>0</v>
      </c>
      <c r="AK253" s="69">
        <f t="shared" si="239"/>
        <v>0</v>
      </c>
      <c r="AL253" s="69">
        <f t="shared" si="239"/>
        <v>0</v>
      </c>
      <c r="AM253" s="69">
        <f t="shared" si="239"/>
        <v>0</v>
      </c>
      <c r="AN253" s="69">
        <f t="shared" si="239"/>
        <v>0</v>
      </c>
      <c r="AO253" s="69">
        <f t="shared" si="239"/>
        <v>0</v>
      </c>
      <c r="AP253" s="69">
        <f t="shared" si="239"/>
        <v>0</v>
      </c>
      <c r="AQ253" s="69">
        <f t="shared" si="239"/>
        <v>0</v>
      </c>
      <c r="AR253" s="69">
        <f t="shared" si="239"/>
        <v>0</v>
      </c>
      <c r="AS253" s="69">
        <f t="shared" si="239"/>
        <v>0</v>
      </c>
      <c r="AT253" s="69">
        <f t="shared" si="239"/>
        <v>0</v>
      </c>
      <c r="AU253" s="69">
        <f t="shared" si="239"/>
        <v>0</v>
      </c>
      <c r="AV253" s="69">
        <f t="shared" si="239"/>
        <v>0</v>
      </c>
      <c r="AW253" s="69">
        <f t="shared" si="239"/>
        <v>0</v>
      </c>
      <c r="AX253" s="69">
        <f t="shared" si="239"/>
        <v>0</v>
      </c>
      <c r="AY253" s="69">
        <f t="shared" si="239"/>
        <v>0</v>
      </c>
      <c r="AZ253" s="69">
        <f t="shared" si="239"/>
        <v>0</v>
      </c>
      <c r="BA253" s="69">
        <f t="shared" si="239"/>
        <v>0</v>
      </c>
      <c r="BB253" s="69">
        <f t="shared" si="239"/>
        <v>0</v>
      </c>
      <c r="BC253" s="70">
        <f t="shared" si="216"/>
        <v>0</v>
      </c>
      <c r="BD253" s="70">
        <f t="shared" si="217"/>
        <v>0</v>
      </c>
      <c r="BE253" s="2"/>
      <c r="BF253" s="69">
        <f>inp_open_fa</f>
        <v>0</v>
      </c>
      <c r="BG253" s="69">
        <f t="shared" ref="BG253:CC253" si="240">BF254</f>
        <v>0</v>
      </c>
      <c r="BH253" s="69">
        <f t="shared" si="240"/>
        <v>0</v>
      </c>
      <c r="BI253" s="69">
        <f t="shared" si="240"/>
        <v>0</v>
      </c>
      <c r="BJ253" s="69">
        <f t="shared" si="240"/>
        <v>0</v>
      </c>
      <c r="BK253" s="69">
        <f t="shared" si="240"/>
        <v>0</v>
      </c>
      <c r="BL253" s="69">
        <f t="shared" si="240"/>
        <v>0</v>
      </c>
      <c r="BM253" s="69">
        <f t="shared" si="240"/>
        <v>0</v>
      </c>
      <c r="BN253" s="69">
        <f t="shared" si="240"/>
        <v>0</v>
      </c>
      <c r="BO253" s="69">
        <f t="shared" si="240"/>
        <v>0</v>
      </c>
      <c r="BP253" s="69">
        <f t="shared" si="240"/>
        <v>0</v>
      </c>
      <c r="BQ253" s="69">
        <f t="shared" si="240"/>
        <v>0</v>
      </c>
      <c r="BR253" s="69">
        <f t="shared" si="240"/>
        <v>0</v>
      </c>
      <c r="BS253" s="69">
        <f t="shared" si="240"/>
        <v>0</v>
      </c>
      <c r="BT253" s="69">
        <f t="shared" si="240"/>
        <v>0</v>
      </c>
      <c r="BU253" s="69">
        <f t="shared" si="240"/>
        <v>0</v>
      </c>
      <c r="BV253" s="69">
        <f t="shared" si="240"/>
        <v>0</v>
      </c>
      <c r="BW253" s="69">
        <f t="shared" si="240"/>
        <v>0</v>
      </c>
      <c r="BX253" s="69">
        <f t="shared" si="240"/>
        <v>0</v>
      </c>
      <c r="BY253" s="69">
        <f t="shared" si="240"/>
        <v>0</v>
      </c>
      <c r="BZ253" s="69">
        <f t="shared" si="240"/>
        <v>0</v>
      </c>
      <c r="CA253" s="69">
        <f t="shared" si="240"/>
        <v>0</v>
      </c>
      <c r="CB253" s="69">
        <f t="shared" si="240"/>
        <v>0</v>
      </c>
      <c r="CC253" s="69">
        <f t="shared" si="240"/>
        <v>0</v>
      </c>
      <c r="CD253" s="70">
        <f t="shared" si="219"/>
        <v>0</v>
      </c>
      <c r="CE253" s="70">
        <f t="shared" si="220"/>
        <v>0</v>
      </c>
      <c r="CF253" s="2"/>
      <c r="CG253" s="69">
        <f>inp_open_fa</f>
        <v>0</v>
      </c>
      <c r="CH253" s="69">
        <f t="shared" ref="CH253:DD253" si="241">CG254</f>
        <v>0</v>
      </c>
      <c r="CI253" s="69">
        <f t="shared" si="241"/>
        <v>0</v>
      </c>
      <c r="CJ253" s="69">
        <f t="shared" si="241"/>
        <v>0</v>
      </c>
      <c r="CK253" s="69">
        <f t="shared" si="241"/>
        <v>0</v>
      </c>
      <c r="CL253" s="69">
        <f t="shared" si="241"/>
        <v>0</v>
      </c>
      <c r="CM253" s="69">
        <f t="shared" si="241"/>
        <v>0</v>
      </c>
      <c r="CN253" s="69">
        <f t="shared" si="241"/>
        <v>0</v>
      </c>
      <c r="CO253" s="69">
        <f t="shared" si="241"/>
        <v>0</v>
      </c>
      <c r="CP253" s="69">
        <f t="shared" si="241"/>
        <v>0</v>
      </c>
      <c r="CQ253" s="69">
        <f t="shared" si="241"/>
        <v>0</v>
      </c>
      <c r="CR253" s="69">
        <f t="shared" si="241"/>
        <v>0</v>
      </c>
      <c r="CS253" s="69">
        <f t="shared" si="241"/>
        <v>0</v>
      </c>
      <c r="CT253" s="69">
        <f t="shared" si="241"/>
        <v>0</v>
      </c>
      <c r="CU253" s="69">
        <f t="shared" si="241"/>
        <v>0</v>
      </c>
      <c r="CV253" s="69">
        <f t="shared" si="241"/>
        <v>0</v>
      </c>
      <c r="CW253" s="69">
        <f t="shared" si="241"/>
        <v>0</v>
      </c>
      <c r="CX253" s="69">
        <f t="shared" si="241"/>
        <v>0</v>
      </c>
      <c r="CY253" s="69">
        <f t="shared" si="241"/>
        <v>0</v>
      </c>
      <c r="CZ253" s="69">
        <f t="shared" si="241"/>
        <v>0</v>
      </c>
      <c r="DA253" s="69">
        <f t="shared" si="241"/>
        <v>0</v>
      </c>
      <c r="DB253" s="69">
        <f t="shared" si="241"/>
        <v>0</v>
      </c>
      <c r="DC253" s="69">
        <f t="shared" si="241"/>
        <v>0</v>
      </c>
      <c r="DD253" s="69">
        <f t="shared" si="241"/>
        <v>0</v>
      </c>
      <c r="DE253" s="70">
        <f t="shared" si="222"/>
        <v>0</v>
      </c>
      <c r="DF253" s="70">
        <f t="shared" si="223"/>
        <v>0</v>
      </c>
      <c r="DG253"/>
      <c r="DH253"/>
    </row>
    <row r="254" spans="1:112" hidden="1" x14ac:dyDescent="0.2">
      <c r="A254" s="2"/>
      <c r="B254" s="35" t="s">
        <v>176</v>
      </c>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69">
        <f t="shared" ref="AE254:BB254" si="242">AE253+AE239-AE213</f>
        <v>0</v>
      </c>
      <c r="AF254" s="69">
        <f t="shared" si="242"/>
        <v>0</v>
      </c>
      <c r="AG254" s="69">
        <f t="shared" si="242"/>
        <v>0</v>
      </c>
      <c r="AH254" s="69">
        <f t="shared" si="242"/>
        <v>0</v>
      </c>
      <c r="AI254" s="69">
        <f t="shared" si="242"/>
        <v>0</v>
      </c>
      <c r="AJ254" s="69">
        <f t="shared" si="242"/>
        <v>0</v>
      </c>
      <c r="AK254" s="69">
        <f t="shared" si="242"/>
        <v>0</v>
      </c>
      <c r="AL254" s="69">
        <f t="shared" si="242"/>
        <v>0</v>
      </c>
      <c r="AM254" s="69">
        <f t="shared" si="242"/>
        <v>0</v>
      </c>
      <c r="AN254" s="69">
        <f t="shared" si="242"/>
        <v>0</v>
      </c>
      <c r="AO254" s="69">
        <f t="shared" si="242"/>
        <v>0</v>
      </c>
      <c r="AP254" s="69">
        <f t="shared" si="242"/>
        <v>0</v>
      </c>
      <c r="AQ254" s="69">
        <f t="shared" si="242"/>
        <v>0</v>
      </c>
      <c r="AR254" s="69">
        <f t="shared" si="242"/>
        <v>0</v>
      </c>
      <c r="AS254" s="69">
        <f t="shared" si="242"/>
        <v>0</v>
      </c>
      <c r="AT254" s="69">
        <f t="shared" si="242"/>
        <v>0</v>
      </c>
      <c r="AU254" s="69">
        <f t="shared" si="242"/>
        <v>0</v>
      </c>
      <c r="AV254" s="69">
        <f t="shared" si="242"/>
        <v>0</v>
      </c>
      <c r="AW254" s="69">
        <f t="shared" si="242"/>
        <v>0</v>
      </c>
      <c r="AX254" s="69">
        <f t="shared" si="242"/>
        <v>0</v>
      </c>
      <c r="AY254" s="69">
        <f t="shared" si="242"/>
        <v>0</v>
      </c>
      <c r="AZ254" s="69">
        <f t="shared" si="242"/>
        <v>0</v>
      </c>
      <c r="BA254" s="69">
        <f t="shared" si="242"/>
        <v>0</v>
      </c>
      <c r="BB254" s="69">
        <f t="shared" si="242"/>
        <v>0</v>
      </c>
      <c r="BC254" s="70">
        <f t="shared" si="216"/>
        <v>0</v>
      </c>
      <c r="BD254" s="70">
        <f t="shared" si="217"/>
        <v>0</v>
      </c>
      <c r="BE254" s="2"/>
      <c r="BF254" s="69">
        <f t="shared" ref="BF254:CC254" si="243">BF253+BF239-BF213</f>
        <v>0</v>
      </c>
      <c r="BG254" s="69">
        <f t="shared" si="243"/>
        <v>0</v>
      </c>
      <c r="BH254" s="69">
        <f t="shared" si="243"/>
        <v>0</v>
      </c>
      <c r="BI254" s="69">
        <f t="shared" si="243"/>
        <v>0</v>
      </c>
      <c r="BJ254" s="69">
        <f t="shared" si="243"/>
        <v>0</v>
      </c>
      <c r="BK254" s="69">
        <f t="shared" si="243"/>
        <v>0</v>
      </c>
      <c r="BL254" s="69">
        <f t="shared" si="243"/>
        <v>0</v>
      </c>
      <c r="BM254" s="69">
        <f t="shared" si="243"/>
        <v>0</v>
      </c>
      <c r="BN254" s="69">
        <f t="shared" si="243"/>
        <v>0</v>
      </c>
      <c r="BO254" s="69">
        <f t="shared" si="243"/>
        <v>0</v>
      </c>
      <c r="BP254" s="69">
        <f t="shared" si="243"/>
        <v>0</v>
      </c>
      <c r="BQ254" s="69">
        <f t="shared" si="243"/>
        <v>0</v>
      </c>
      <c r="BR254" s="69">
        <f t="shared" si="243"/>
        <v>0</v>
      </c>
      <c r="BS254" s="69">
        <f t="shared" si="243"/>
        <v>0</v>
      </c>
      <c r="BT254" s="69">
        <f t="shared" si="243"/>
        <v>0</v>
      </c>
      <c r="BU254" s="69">
        <f t="shared" si="243"/>
        <v>0</v>
      </c>
      <c r="BV254" s="69">
        <f t="shared" si="243"/>
        <v>0</v>
      </c>
      <c r="BW254" s="69">
        <f t="shared" si="243"/>
        <v>0</v>
      </c>
      <c r="BX254" s="69">
        <f t="shared" si="243"/>
        <v>0</v>
      </c>
      <c r="BY254" s="69">
        <f t="shared" si="243"/>
        <v>0</v>
      </c>
      <c r="BZ254" s="69">
        <f t="shared" si="243"/>
        <v>0</v>
      </c>
      <c r="CA254" s="69">
        <f t="shared" si="243"/>
        <v>0</v>
      </c>
      <c r="CB254" s="69">
        <f t="shared" si="243"/>
        <v>0</v>
      </c>
      <c r="CC254" s="69">
        <f t="shared" si="243"/>
        <v>0</v>
      </c>
      <c r="CD254" s="70">
        <f t="shared" si="219"/>
        <v>0</v>
      </c>
      <c r="CE254" s="70">
        <f t="shared" si="220"/>
        <v>0</v>
      </c>
      <c r="CF254" s="2"/>
      <c r="CG254" s="69">
        <f t="shared" ref="CG254:DD254" si="244">CG253+CG239-CG213</f>
        <v>0</v>
      </c>
      <c r="CH254" s="69">
        <f t="shared" si="244"/>
        <v>0</v>
      </c>
      <c r="CI254" s="69">
        <f t="shared" si="244"/>
        <v>0</v>
      </c>
      <c r="CJ254" s="69">
        <f t="shared" si="244"/>
        <v>0</v>
      </c>
      <c r="CK254" s="69">
        <f t="shared" si="244"/>
        <v>0</v>
      </c>
      <c r="CL254" s="69">
        <f t="shared" si="244"/>
        <v>0</v>
      </c>
      <c r="CM254" s="69">
        <f t="shared" si="244"/>
        <v>0</v>
      </c>
      <c r="CN254" s="69">
        <f t="shared" si="244"/>
        <v>0</v>
      </c>
      <c r="CO254" s="69">
        <f t="shared" si="244"/>
        <v>0</v>
      </c>
      <c r="CP254" s="69">
        <f t="shared" si="244"/>
        <v>0</v>
      </c>
      <c r="CQ254" s="69">
        <f t="shared" si="244"/>
        <v>0</v>
      </c>
      <c r="CR254" s="69">
        <f t="shared" si="244"/>
        <v>0</v>
      </c>
      <c r="CS254" s="69">
        <f t="shared" si="244"/>
        <v>0</v>
      </c>
      <c r="CT254" s="69">
        <f t="shared" si="244"/>
        <v>0</v>
      </c>
      <c r="CU254" s="69">
        <f t="shared" si="244"/>
        <v>0</v>
      </c>
      <c r="CV254" s="69">
        <f t="shared" si="244"/>
        <v>0</v>
      </c>
      <c r="CW254" s="69">
        <f t="shared" si="244"/>
        <v>0</v>
      </c>
      <c r="CX254" s="69">
        <f t="shared" si="244"/>
        <v>0</v>
      </c>
      <c r="CY254" s="69">
        <f t="shared" si="244"/>
        <v>0</v>
      </c>
      <c r="CZ254" s="69">
        <f t="shared" si="244"/>
        <v>0</v>
      </c>
      <c r="DA254" s="69">
        <f t="shared" si="244"/>
        <v>0</v>
      </c>
      <c r="DB254" s="69">
        <f t="shared" si="244"/>
        <v>0</v>
      </c>
      <c r="DC254" s="69">
        <f t="shared" si="244"/>
        <v>0</v>
      </c>
      <c r="DD254" s="69">
        <f t="shared" si="244"/>
        <v>0</v>
      </c>
      <c r="DE254" s="70">
        <f t="shared" si="222"/>
        <v>0</v>
      </c>
      <c r="DF254" s="70">
        <f t="shared" si="223"/>
        <v>0</v>
      </c>
      <c r="DG254"/>
      <c r="DH254"/>
    </row>
    <row r="255" spans="1:112" hidden="1" x14ac:dyDescent="0.2">
      <c r="A255" s="2"/>
      <c r="B255" s="35" t="s">
        <v>177</v>
      </c>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69">
        <f t="shared" ref="AE255:BB255" si="245">AE254</f>
        <v>0</v>
      </c>
      <c r="AF255" s="69">
        <f t="shared" si="245"/>
        <v>0</v>
      </c>
      <c r="AG255" s="69">
        <f t="shared" si="245"/>
        <v>0</v>
      </c>
      <c r="AH255" s="69">
        <f t="shared" si="245"/>
        <v>0</v>
      </c>
      <c r="AI255" s="69">
        <f t="shared" si="245"/>
        <v>0</v>
      </c>
      <c r="AJ255" s="69">
        <f t="shared" si="245"/>
        <v>0</v>
      </c>
      <c r="AK255" s="69">
        <f t="shared" si="245"/>
        <v>0</v>
      </c>
      <c r="AL255" s="69">
        <f t="shared" si="245"/>
        <v>0</v>
      </c>
      <c r="AM255" s="69">
        <f t="shared" si="245"/>
        <v>0</v>
      </c>
      <c r="AN255" s="69">
        <f t="shared" si="245"/>
        <v>0</v>
      </c>
      <c r="AO255" s="69">
        <f t="shared" si="245"/>
        <v>0</v>
      </c>
      <c r="AP255" s="69">
        <f t="shared" si="245"/>
        <v>0</v>
      </c>
      <c r="AQ255" s="69">
        <f t="shared" si="245"/>
        <v>0</v>
      </c>
      <c r="AR255" s="69">
        <f t="shared" si="245"/>
        <v>0</v>
      </c>
      <c r="AS255" s="69">
        <f t="shared" si="245"/>
        <v>0</v>
      </c>
      <c r="AT255" s="69">
        <f t="shared" si="245"/>
        <v>0</v>
      </c>
      <c r="AU255" s="69">
        <f t="shared" si="245"/>
        <v>0</v>
      </c>
      <c r="AV255" s="69">
        <f t="shared" si="245"/>
        <v>0</v>
      </c>
      <c r="AW255" s="69">
        <f t="shared" si="245"/>
        <v>0</v>
      </c>
      <c r="AX255" s="69">
        <f t="shared" si="245"/>
        <v>0</v>
      </c>
      <c r="AY255" s="69">
        <f t="shared" si="245"/>
        <v>0</v>
      </c>
      <c r="AZ255" s="69">
        <f t="shared" si="245"/>
        <v>0</v>
      </c>
      <c r="BA255" s="69">
        <f t="shared" si="245"/>
        <v>0</v>
      </c>
      <c r="BB255" s="69">
        <f t="shared" si="245"/>
        <v>0</v>
      </c>
      <c r="BC255" s="70">
        <f t="shared" si="216"/>
        <v>0</v>
      </c>
      <c r="BD255" s="70">
        <f t="shared" si="217"/>
        <v>0</v>
      </c>
      <c r="BE255" s="2"/>
      <c r="BF255" s="69">
        <f t="shared" ref="BF255:CC255" si="246">BF254</f>
        <v>0</v>
      </c>
      <c r="BG255" s="69">
        <f t="shared" si="246"/>
        <v>0</v>
      </c>
      <c r="BH255" s="69">
        <f t="shared" si="246"/>
        <v>0</v>
      </c>
      <c r="BI255" s="69">
        <f t="shared" si="246"/>
        <v>0</v>
      </c>
      <c r="BJ255" s="69">
        <f t="shared" si="246"/>
        <v>0</v>
      </c>
      <c r="BK255" s="69">
        <f t="shared" si="246"/>
        <v>0</v>
      </c>
      <c r="BL255" s="69">
        <f t="shared" si="246"/>
        <v>0</v>
      </c>
      <c r="BM255" s="69">
        <f t="shared" si="246"/>
        <v>0</v>
      </c>
      <c r="BN255" s="69">
        <f t="shared" si="246"/>
        <v>0</v>
      </c>
      <c r="BO255" s="69">
        <f t="shared" si="246"/>
        <v>0</v>
      </c>
      <c r="BP255" s="69">
        <f t="shared" si="246"/>
        <v>0</v>
      </c>
      <c r="BQ255" s="69">
        <f t="shared" si="246"/>
        <v>0</v>
      </c>
      <c r="BR255" s="69">
        <f t="shared" si="246"/>
        <v>0</v>
      </c>
      <c r="BS255" s="69">
        <f t="shared" si="246"/>
        <v>0</v>
      </c>
      <c r="BT255" s="69">
        <f t="shared" si="246"/>
        <v>0</v>
      </c>
      <c r="BU255" s="69">
        <f t="shared" si="246"/>
        <v>0</v>
      </c>
      <c r="BV255" s="69">
        <f t="shared" si="246"/>
        <v>0</v>
      </c>
      <c r="BW255" s="69">
        <f t="shared" si="246"/>
        <v>0</v>
      </c>
      <c r="BX255" s="69">
        <f t="shared" si="246"/>
        <v>0</v>
      </c>
      <c r="BY255" s="69">
        <f t="shared" si="246"/>
        <v>0</v>
      </c>
      <c r="BZ255" s="69">
        <f t="shared" si="246"/>
        <v>0</v>
      </c>
      <c r="CA255" s="69">
        <f t="shared" si="246"/>
        <v>0</v>
      </c>
      <c r="CB255" s="69">
        <f t="shared" si="246"/>
        <v>0</v>
      </c>
      <c r="CC255" s="69">
        <f t="shared" si="246"/>
        <v>0</v>
      </c>
      <c r="CD255" s="70">
        <f t="shared" si="219"/>
        <v>0</v>
      </c>
      <c r="CE255" s="70">
        <f t="shared" si="220"/>
        <v>0</v>
      </c>
      <c r="CF255" s="2"/>
      <c r="CG255" s="69">
        <f t="shared" ref="CG255:DD255" si="247">CG254</f>
        <v>0</v>
      </c>
      <c r="CH255" s="69">
        <f t="shared" si="247"/>
        <v>0</v>
      </c>
      <c r="CI255" s="69">
        <f t="shared" si="247"/>
        <v>0</v>
      </c>
      <c r="CJ255" s="69">
        <f t="shared" si="247"/>
        <v>0</v>
      </c>
      <c r="CK255" s="69">
        <f t="shared" si="247"/>
        <v>0</v>
      </c>
      <c r="CL255" s="69">
        <f t="shared" si="247"/>
        <v>0</v>
      </c>
      <c r="CM255" s="69">
        <f t="shared" si="247"/>
        <v>0</v>
      </c>
      <c r="CN255" s="69">
        <f t="shared" si="247"/>
        <v>0</v>
      </c>
      <c r="CO255" s="69">
        <f t="shared" si="247"/>
        <v>0</v>
      </c>
      <c r="CP255" s="69">
        <f t="shared" si="247"/>
        <v>0</v>
      </c>
      <c r="CQ255" s="69">
        <f t="shared" si="247"/>
        <v>0</v>
      </c>
      <c r="CR255" s="69">
        <f t="shared" si="247"/>
        <v>0</v>
      </c>
      <c r="CS255" s="69">
        <f t="shared" si="247"/>
        <v>0</v>
      </c>
      <c r="CT255" s="69">
        <f t="shared" si="247"/>
        <v>0</v>
      </c>
      <c r="CU255" s="69">
        <f t="shared" si="247"/>
        <v>0</v>
      </c>
      <c r="CV255" s="69">
        <f t="shared" si="247"/>
        <v>0</v>
      </c>
      <c r="CW255" s="69">
        <f t="shared" si="247"/>
        <v>0</v>
      </c>
      <c r="CX255" s="69">
        <f t="shared" si="247"/>
        <v>0</v>
      </c>
      <c r="CY255" s="69">
        <f t="shared" si="247"/>
        <v>0</v>
      </c>
      <c r="CZ255" s="69">
        <f t="shared" si="247"/>
        <v>0</v>
      </c>
      <c r="DA255" s="69">
        <f t="shared" si="247"/>
        <v>0</v>
      </c>
      <c r="DB255" s="69">
        <f t="shared" si="247"/>
        <v>0</v>
      </c>
      <c r="DC255" s="69">
        <f t="shared" si="247"/>
        <v>0</v>
      </c>
      <c r="DD255" s="69">
        <f t="shared" si="247"/>
        <v>0</v>
      </c>
      <c r="DE255" s="70">
        <f t="shared" si="222"/>
        <v>0</v>
      </c>
      <c r="DF255" s="70">
        <f t="shared" si="223"/>
        <v>0</v>
      </c>
      <c r="DG255"/>
      <c r="DH255"/>
    </row>
    <row r="256" spans="1:112" hidden="1" x14ac:dyDescent="0.2">
      <c r="A256" s="2"/>
      <c r="B256" s="35" t="s">
        <v>178</v>
      </c>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70">
        <f t="shared" ref="AE256:BB256" si="248">AE252+AE255</f>
        <v>0</v>
      </c>
      <c r="AF256" s="70">
        <f t="shared" si="248"/>
        <v>0</v>
      </c>
      <c r="AG256" s="70">
        <f t="shared" si="248"/>
        <v>0</v>
      </c>
      <c r="AH256" s="70">
        <f t="shared" si="248"/>
        <v>0</v>
      </c>
      <c r="AI256" s="70">
        <f t="shared" si="248"/>
        <v>0</v>
      </c>
      <c r="AJ256" s="70">
        <f t="shared" si="248"/>
        <v>0</v>
      </c>
      <c r="AK256" s="70">
        <f t="shared" si="248"/>
        <v>0</v>
      </c>
      <c r="AL256" s="70">
        <f t="shared" si="248"/>
        <v>0</v>
      </c>
      <c r="AM256" s="70">
        <f t="shared" si="248"/>
        <v>0</v>
      </c>
      <c r="AN256" s="70">
        <f t="shared" si="248"/>
        <v>0</v>
      </c>
      <c r="AO256" s="70">
        <f t="shared" si="248"/>
        <v>0</v>
      </c>
      <c r="AP256" s="70">
        <f t="shared" si="248"/>
        <v>0</v>
      </c>
      <c r="AQ256" s="70">
        <f t="shared" si="248"/>
        <v>0</v>
      </c>
      <c r="AR256" s="70">
        <f t="shared" si="248"/>
        <v>0</v>
      </c>
      <c r="AS256" s="70">
        <f t="shared" si="248"/>
        <v>0</v>
      </c>
      <c r="AT256" s="70">
        <f t="shared" si="248"/>
        <v>0</v>
      </c>
      <c r="AU256" s="70">
        <f t="shared" si="248"/>
        <v>0</v>
      </c>
      <c r="AV256" s="70">
        <f t="shared" si="248"/>
        <v>0</v>
      </c>
      <c r="AW256" s="70">
        <f t="shared" si="248"/>
        <v>0</v>
      </c>
      <c r="AX256" s="70">
        <f t="shared" si="248"/>
        <v>0</v>
      </c>
      <c r="AY256" s="70">
        <f t="shared" si="248"/>
        <v>0</v>
      </c>
      <c r="AZ256" s="70">
        <f t="shared" si="248"/>
        <v>0</v>
      </c>
      <c r="BA256" s="70">
        <f t="shared" si="248"/>
        <v>0</v>
      </c>
      <c r="BB256" s="70">
        <f t="shared" si="248"/>
        <v>0</v>
      </c>
      <c r="BC256" s="70">
        <f t="shared" si="216"/>
        <v>0</v>
      </c>
      <c r="BD256" s="70">
        <f t="shared" si="217"/>
        <v>0</v>
      </c>
      <c r="BE256" s="2"/>
      <c r="BF256" s="70">
        <f t="shared" ref="BF256:CC256" si="249">BF252+BF255</f>
        <v>0</v>
      </c>
      <c r="BG256" s="70">
        <f t="shared" si="249"/>
        <v>0</v>
      </c>
      <c r="BH256" s="70">
        <f t="shared" si="249"/>
        <v>0</v>
      </c>
      <c r="BI256" s="70">
        <f t="shared" si="249"/>
        <v>0</v>
      </c>
      <c r="BJ256" s="70">
        <f t="shared" si="249"/>
        <v>0</v>
      </c>
      <c r="BK256" s="70">
        <f t="shared" si="249"/>
        <v>0</v>
      </c>
      <c r="BL256" s="70">
        <f t="shared" si="249"/>
        <v>0</v>
      </c>
      <c r="BM256" s="70">
        <f t="shared" si="249"/>
        <v>0</v>
      </c>
      <c r="BN256" s="70">
        <f t="shared" si="249"/>
        <v>0</v>
      </c>
      <c r="BO256" s="70">
        <f t="shared" si="249"/>
        <v>0</v>
      </c>
      <c r="BP256" s="70">
        <f t="shared" si="249"/>
        <v>0</v>
      </c>
      <c r="BQ256" s="70">
        <f t="shared" si="249"/>
        <v>0</v>
      </c>
      <c r="BR256" s="70">
        <f t="shared" si="249"/>
        <v>0</v>
      </c>
      <c r="BS256" s="70">
        <f t="shared" si="249"/>
        <v>0</v>
      </c>
      <c r="BT256" s="70">
        <f t="shared" si="249"/>
        <v>0</v>
      </c>
      <c r="BU256" s="70">
        <f t="shared" si="249"/>
        <v>0</v>
      </c>
      <c r="BV256" s="70">
        <f t="shared" si="249"/>
        <v>0</v>
      </c>
      <c r="BW256" s="70">
        <f t="shared" si="249"/>
        <v>0</v>
      </c>
      <c r="BX256" s="70">
        <f t="shared" si="249"/>
        <v>0</v>
      </c>
      <c r="BY256" s="70">
        <f t="shared" si="249"/>
        <v>0</v>
      </c>
      <c r="BZ256" s="70">
        <f t="shared" si="249"/>
        <v>0</v>
      </c>
      <c r="CA256" s="70">
        <f t="shared" si="249"/>
        <v>0</v>
      </c>
      <c r="CB256" s="70">
        <f t="shared" si="249"/>
        <v>0</v>
      </c>
      <c r="CC256" s="70">
        <f t="shared" si="249"/>
        <v>0</v>
      </c>
      <c r="CD256" s="70">
        <f t="shared" si="219"/>
        <v>0</v>
      </c>
      <c r="CE256" s="70">
        <f t="shared" si="220"/>
        <v>0</v>
      </c>
      <c r="CF256" s="2"/>
      <c r="CG256" s="70">
        <f t="shared" ref="CG256:DD256" si="250">CG252+CG255</f>
        <v>0</v>
      </c>
      <c r="CH256" s="70">
        <f t="shared" si="250"/>
        <v>0</v>
      </c>
      <c r="CI256" s="70">
        <f t="shared" si="250"/>
        <v>0</v>
      </c>
      <c r="CJ256" s="70">
        <f t="shared" si="250"/>
        <v>0</v>
      </c>
      <c r="CK256" s="70">
        <f t="shared" si="250"/>
        <v>0</v>
      </c>
      <c r="CL256" s="70">
        <f t="shared" si="250"/>
        <v>0</v>
      </c>
      <c r="CM256" s="70">
        <f t="shared" si="250"/>
        <v>0</v>
      </c>
      <c r="CN256" s="70">
        <f t="shared" si="250"/>
        <v>0</v>
      </c>
      <c r="CO256" s="70">
        <f t="shared" si="250"/>
        <v>0</v>
      </c>
      <c r="CP256" s="70">
        <f t="shared" si="250"/>
        <v>0</v>
      </c>
      <c r="CQ256" s="70">
        <f t="shared" si="250"/>
        <v>0</v>
      </c>
      <c r="CR256" s="70">
        <f t="shared" si="250"/>
        <v>0</v>
      </c>
      <c r="CS256" s="70">
        <f t="shared" si="250"/>
        <v>0</v>
      </c>
      <c r="CT256" s="70">
        <f t="shared" si="250"/>
        <v>0</v>
      </c>
      <c r="CU256" s="70">
        <f t="shared" si="250"/>
        <v>0</v>
      </c>
      <c r="CV256" s="70">
        <f t="shared" si="250"/>
        <v>0</v>
      </c>
      <c r="CW256" s="70">
        <f t="shared" si="250"/>
        <v>0</v>
      </c>
      <c r="CX256" s="70">
        <f t="shared" si="250"/>
        <v>0</v>
      </c>
      <c r="CY256" s="70">
        <f t="shared" si="250"/>
        <v>0</v>
      </c>
      <c r="CZ256" s="70">
        <f t="shared" si="250"/>
        <v>0</v>
      </c>
      <c r="DA256" s="70">
        <f t="shared" si="250"/>
        <v>0</v>
      </c>
      <c r="DB256" s="70">
        <f t="shared" si="250"/>
        <v>0</v>
      </c>
      <c r="DC256" s="70">
        <f t="shared" si="250"/>
        <v>0</v>
      </c>
      <c r="DD256" s="70">
        <f t="shared" si="250"/>
        <v>0</v>
      </c>
      <c r="DE256" s="70">
        <f t="shared" si="222"/>
        <v>0</v>
      </c>
      <c r="DF256" s="70">
        <f t="shared" si="223"/>
        <v>0</v>
      </c>
      <c r="DG256"/>
      <c r="DH256"/>
    </row>
    <row r="257" spans="1:112" hidden="1" x14ac:dyDescent="0.2">
      <c r="A257" s="2"/>
      <c r="B257" s="35" t="s">
        <v>179</v>
      </c>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69">
        <f t="shared" ref="AE257:BB257" si="251">AE225</f>
        <v>0</v>
      </c>
      <c r="AF257" s="69">
        <f t="shared" si="251"/>
        <v>0</v>
      </c>
      <c r="AG257" s="69">
        <f t="shared" si="251"/>
        <v>0</v>
      </c>
      <c r="AH257" s="69">
        <f t="shared" si="251"/>
        <v>0</v>
      </c>
      <c r="AI257" s="69">
        <f t="shared" si="251"/>
        <v>0</v>
      </c>
      <c r="AJ257" s="69">
        <f t="shared" si="251"/>
        <v>0</v>
      </c>
      <c r="AK257" s="69">
        <f t="shared" si="251"/>
        <v>0</v>
      </c>
      <c r="AL257" s="69">
        <f t="shared" si="251"/>
        <v>0</v>
      </c>
      <c r="AM257" s="69">
        <f t="shared" si="251"/>
        <v>0</v>
      </c>
      <c r="AN257" s="69">
        <f t="shared" si="251"/>
        <v>0</v>
      </c>
      <c r="AO257" s="69">
        <f t="shared" si="251"/>
        <v>0</v>
      </c>
      <c r="AP257" s="69">
        <f t="shared" si="251"/>
        <v>0</v>
      </c>
      <c r="AQ257" s="69">
        <f t="shared" si="251"/>
        <v>0</v>
      </c>
      <c r="AR257" s="69">
        <f t="shared" si="251"/>
        <v>0</v>
      </c>
      <c r="AS257" s="69">
        <f t="shared" si="251"/>
        <v>0</v>
      </c>
      <c r="AT257" s="69">
        <f t="shared" si="251"/>
        <v>0</v>
      </c>
      <c r="AU257" s="69">
        <f t="shared" si="251"/>
        <v>0</v>
      </c>
      <c r="AV257" s="69">
        <f t="shared" si="251"/>
        <v>0</v>
      </c>
      <c r="AW257" s="69">
        <f t="shared" si="251"/>
        <v>0</v>
      </c>
      <c r="AX257" s="69">
        <f t="shared" si="251"/>
        <v>0</v>
      </c>
      <c r="AY257" s="69">
        <f t="shared" si="251"/>
        <v>0</v>
      </c>
      <c r="AZ257" s="69">
        <f t="shared" si="251"/>
        <v>0</v>
      </c>
      <c r="BA257" s="69">
        <f t="shared" si="251"/>
        <v>0</v>
      </c>
      <c r="BB257" s="69">
        <f t="shared" si="251"/>
        <v>0</v>
      </c>
      <c r="BC257" s="70">
        <f t="shared" si="216"/>
        <v>0</v>
      </c>
      <c r="BD257" s="70">
        <f t="shared" si="217"/>
        <v>0</v>
      </c>
      <c r="BE257" s="2"/>
      <c r="BF257" s="69">
        <f t="shared" ref="BF257:CC257" si="252">BF225</f>
        <v>0</v>
      </c>
      <c r="BG257" s="69">
        <f t="shared" si="252"/>
        <v>0</v>
      </c>
      <c r="BH257" s="69">
        <f t="shared" si="252"/>
        <v>0</v>
      </c>
      <c r="BI257" s="69">
        <f t="shared" si="252"/>
        <v>0</v>
      </c>
      <c r="BJ257" s="69">
        <f t="shared" si="252"/>
        <v>0</v>
      </c>
      <c r="BK257" s="69">
        <f t="shared" si="252"/>
        <v>0</v>
      </c>
      <c r="BL257" s="69">
        <f t="shared" si="252"/>
        <v>0</v>
      </c>
      <c r="BM257" s="69">
        <f t="shared" si="252"/>
        <v>0</v>
      </c>
      <c r="BN257" s="69">
        <f t="shared" si="252"/>
        <v>0</v>
      </c>
      <c r="BO257" s="69">
        <f t="shared" si="252"/>
        <v>0</v>
      </c>
      <c r="BP257" s="69">
        <f t="shared" si="252"/>
        <v>0</v>
      </c>
      <c r="BQ257" s="69">
        <f t="shared" si="252"/>
        <v>0</v>
      </c>
      <c r="BR257" s="69">
        <f t="shared" si="252"/>
        <v>0</v>
      </c>
      <c r="BS257" s="69">
        <f t="shared" si="252"/>
        <v>0</v>
      </c>
      <c r="BT257" s="69">
        <f t="shared" si="252"/>
        <v>0</v>
      </c>
      <c r="BU257" s="69">
        <f t="shared" si="252"/>
        <v>0</v>
      </c>
      <c r="BV257" s="69">
        <f t="shared" si="252"/>
        <v>0</v>
      </c>
      <c r="BW257" s="69">
        <f t="shared" si="252"/>
        <v>0</v>
      </c>
      <c r="BX257" s="69">
        <f t="shared" si="252"/>
        <v>0</v>
      </c>
      <c r="BY257" s="69">
        <f t="shared" si="252"/>
        <v>0</v>
      </c>
      <c r="BZ257" s="69">
        <f t="shared" si="252"/>
        <v>0</v>
      </c>
      <c r="CA257" s="69">
        <f t="shared" si="252"/>
        <v>0</v>
      </c>
      <c r="CB257" s="69">
        <f t="shared" si="252"/>
        <v>0</v>
      </c>
      <c r="CC257" s="69">
        <f t="shared" si="252"/>
        <v>0</v>
      </c>
      <c r="CD257" s="70">
        <f t="shared" si="219"/>
        <v>0</v>
      </c>
      <c r="CE257" s="70">
        <f t="shared" si="220"/>
        <v>0</v>
      </c>
      <c r="CF257" s="2"/>
      <c r="CG257" s="69">
        <f t="shared" ref="CG257:DD257" si="253">CG225</f>
        <v>0</v>
      </c>
      <c r="CH257" s="69">
        <f t="shared" si="253"/>
        <v>0</v>
      </c>
      <c r="CI257" s="69">
        <f t="shared" si="253"/>
        <v>0</v>
      </c>
      <c r="CJ257" s="69">
        <f t="shared" si="253"/>
        <v>0</v>
      </c>
      <c r="CK257" s="69">
        <f t="shared" si="253"/>
        <v>0</v>
      </c>
      <c r="CL257" s="69">
        <f t="shared" si="253"/>
        <v>0</v>
      </c>
      <c r="CM257" s="69">
        <f t="shared" si="253"/>
        <v>0</v>
      </c>
      <c r="CN257" s="69">
        <f t="shared" si="253"/>
        <v>0</v>
      </c>
      <c r="CO257" s="69">
        <f t="shared" si="253"/>
        <v>0</v>
      </c>
      <c r="CP257" s="69">
        <f t="shared" si="253"/>
        <v>0</v>
      </c>
      <c r="CQ257" s="69">
        <f t="shared" si="253"/>
        <v>0</v>
      </c>
      <c r="CR257" s="69">
        <f t="shared" si="253"/>
        <v>0</v>
      </c>
      <c r="CS257" s="69">
        <f t="shared" si="253"/>
        <v>0</v>
      </c>
      <c r="CT257" s="69">
        <f t="shared" si="253"/>
        <v>0</v>
      </c>
      <c r="CU257" s="69">
        <f t="shared" si="253"/>
        <v>0</v>
      </c>
      <c r="CV257" s="69">
        <f t="shared" si="253"/>
        <v>0</v>
      </c>
      <c r="CW257" s="69">
        <f t="shared" si="253"/>
        <v>0</v>
      </c>
      <c r="CX257" s="69">
        <f t="shared" si="253"/>
        <v>0</v>
      </c>
      <c r="CY257" s="69">
        <f t="shared" si="253"/>
        <v>0</v>
      </c>
      <c r="CZ257" s="69">
        <f t="shared" si="253"/>
        <v>0</v>
      </c>
      <c r="DA257" s="69">
        <f t="shared" si="253"/>
        <v>0</v>
      </c>
      <c r="DB257" s="69">
        <f t="shared" si="253"/>
        <v>0</v>
      </c>
      <c r="DC257" s="69">
        <f t="shared" si="253"/>
        <v>0</v>
      </c>
      <c r="DD257" s="69">
        <f t="shared" si="253"/>
        <v>0</v>
      </c>
      <c r="DE257" s="70">
        <f t="shared" si="222"/>
        <v>0</v>
      </c>
      <c r="DF257" s="70">
        <f t="shared" si="223"/>
        <v>0</v>
      </c>
      <c r="DG257"/>
      <c r="DH257"/>
    </row>
    <row r="258" spans="1:112" hidden="1" x14ac:dyDescent="0.2">
      <c r="A258" s="2"/>
      <c r="B258" s="35" t="s">
        <v>180</v>
      </c>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69">
        <f t="shared" ref="AE258:BB258" si="254">AE231</f>
        <v>0</v>
      </c>
      <c r="AF258" s="69">
        <f t="shared" si="254"/>
        <v>0</v>
      </c>
      <c r="AG258" s="69">
        <f t="shared" si="254"/>
        <v>0</v>
      </c>
      <c r="AH258" s="69">
        <f t="shared" si="254"/>
        <v>0</v>
      </c>
      <c r="AI258" s="69">
        <f t="shared" si="254"/>
        <v>0</v>
      </c>
      <c r="AJ258" s="69">
        <f t="shared" si="254"/>
        <v>0</v>
      </c>
      <c r="AK258" s="69">
        <f t="shared" si="254"/>
        <v>0</v>
      </c>
      <c r="AL258" s="69">
        <f t="shared" si="254"/>
        <v>0</v>
      </c>
      <c r="AM258" s="69">
        <f t="shared" si="254"/>
        <v>0</v>
      </c>
      <c r="AN258" s="69">
        <f t="shared" si="254"/>
        <v>0</v>
      </c>
      <c r="AO258" s="69">
        <f t="shared" si="254"/>
        <v>0</v>
      </c>
      <c r="AP258" s="69">
        <f t="shared" si="254"/>
        <v>0</v>
      </c>
      <c r="AQ258" s="69">
        <f t="shared" si="254"/>
        <v>0</v>
      </c>
      <c r="AR258" s="69">
        <f t="shared" si="254"/>
        <v>0</v>
      </c>
      <c r="AS258" s="69">
        <f t="shared" si="254"/>
        <v>0</v>
      </c>
      <c r="AT258" s="69">
        <f t="shared" si="254"/>
        <v>0</v>
      </c>
      <c r="AU258" s="69">
        <f t="shared" si="254"/>
        <v>0</v>
      </c>
      <c r="AV258" s="69">
        <f t="shared" si="254"/>
        <v>0</v>
      </c>
      <c r="AW258" s="69">
        <f t="shared" si="254"/>
        <v>0</v>
      </c>
      <c r="AX258" s="69">
        <f t="shared" si="254"/>
        <v>0</v>
      </c>
      <c r="AY258" s="69">
        <f t="shared" si="254"/>
        <v>0</v>
      </c>
      <c r="AZ258" s="69">
        <f t="shared" si="254"/>
        <v>0</v>
      </c>
      <c r="BA258" s="69">
        <f t="shared" si="254"/>
        <v>0</v>
      </c>
      <c r="BB258" s="69">
        <f t="shared" si="254"/>
        <v>0</v>
      </c>
      <c r="BC258" s="70">
        <f t="shared" si="216"/>
        <v>0</v>
      </c>
      <c r="BD258" s="70">
        <f t="shared" si="217"/>
        <v>0</v>
      </c>
      <c r="BE258" s="2"/>
      <c r="BF258" s="69">
        <f t="shared" ref="BF258:CC258" si="255">BF231</f>
        <v>0</v>
      </c>
      <c r="BG258" s="69">
        <f t="shared" si="255"/>
        <v>0</v>
      </c>
      <c r="BH258" s="69">
        <f t="shared" si="255"/>
        <v>0</v>
      </c>
      <c r="BI258" s="69">
        <f t="shared" si="255"/>
        <v>0</v>
      </c>
      <c r="BJ258" s="69">
        <f t="shared" si="255"/>
        <v>0</v>
      </c>
      <c r="BK258" s="69">
        <f t="shared" si="255"/>
        <v>0</v>
      </c>
      <c r="BL258" s="69">
        <f t="shared" si="255"/>
        <v>0</v>
      </c>
      <c r="BM258" s="69">
        <f t="shared" si="255"/>
        <v>0</v>
      </c>
      <c r="BN258" s="69">
        <f t="shared" si="255"/>
        <v>0</v>
      </c>
      <c r="BO258" s="69">
        <f t="shared" si="255"/>
        <v>0</v>
      </c>
      <c r="BP258" s="69">
        <f t="shared" si="255"/>
        <v>0</v>
      </c>
      <c r="BQ258" s="69">
        <f t="shared" si="255"/>
        <v>0</v>
      </c>
      <c r="BR258" s="69">
        <f t="shared" si="255"/>
        <v>0</v>
      </c>
      <c r="BS258" s="69">
        <f t="shared" si="255"/>
        <v>0</v>
      </c>
      <c r="BT258" s="69">
        <f t="shared" si="255"/>
        <v>0</v>
      </c>
      <c r="BU258" s="69">
        <f t="shared" si="255"/>
        <v>0</v>
      </c>
      <c r="BV258" s="69">
        <f t="shared" si="255"/>
        <v>0</v>
      </c>
      <c r="BW258" s="69">
        <f t="shared" si="255"/>
        <v>0</v>
      </c>
      <c r="BX258" s="69">
        <f t="shared" si="255"/>
        <v>0</v>
      </c>
      <c r="BY258" s="69">
        <f t="shared" si="255"/>
        <v>0</v>
      </c>
      <c r="BZ258" s="69">
        <f t="shared" si="255"/>
        <v>0</v>
      </c>
      <c r="CA258" s="69">
        <f t="shared" si="255"/>
        <v>0</v>
      </c>
      <c r="CB258" s="69">
        <f t="shared" si="255"/>
        <v>0</v>
      </c>
      <c r="CC258" s="69">
        <f t="shared" si="255"/>
        <v>0</v>
      </c>
      <c r="CD258" s="70">
        <f t="shared" si="219"/>
        <v>0</v>
      </c>
      <c r="CE258" s="70">
        <f t="shared" si="220"/>
        <v>0</v>
      </c>
      <c r="CF258" s="2"/>
      <c r="CG258" s="69">
        <f t="shared" ref="CG258:DD258" si="256">CG231</f>
        <v>0</v>
      </c>
      <c r="CH258" s="69">
        <f t="shared" si="256"/>
        <v>0</v>
      </c>
      <c r="CI258" s="69">
        <f t="shared" si="256"/>
        <v>0</v>
      </c>
      <c r="CJ258" s="69">
        <f t="shared" si="256"/>
        <v>0</v>
      </c>
      <c r="CK258" s="69">
        <f t="shared" si="256"/>
        <v>0</v>
      </c>
      <c r="CL258" s="69">
        <f t="shared" si="256"/>
        <v>0</v>
      </c>
      <c r="CM258" s="69">
        <f t="shared" si="256"/>
        <v>0</v>
      </c>
      <c r="CN258" s="69">
        <f t="shared" si="256"/>
        <v>0</v>
      </c>
      <c r="CO258" s="69">
        <f t="shared" si="256"/>
        <v>0</v>
      </c>
      <c r="CP258" s="69">
        <f t="shared" si="256"/>
        <v>0</v>
      </c>
      <c r="CQ258" s="69">
        <f t="shared" si="256"/>
        <v>0</v>
      </c>
      <c r="CR258" s="69">
        <f t="shared" si="256"/>
        <v>0</v>
      </c>
      <c r="CS258" s="69">
        <f t="shared" si="256"/>
        <v>0</v>
      </c>
      <c r="CT258" s="69">
        <f t="shared" si="256"/>
        <v>0</v>
      </c>
      <c r="CU258" s="69">
        <f t="shared" si="256"/>
        <v>0</v>
      </c>
      <c r="CV258" s="69">
        <f t="shared" si="256"/>
        <v>0</v>
      </c>
      <c r="CW258" s="69">
        <f t="shared" si="256"/>
        <v>0</v>
      </c>
      <c r="CX258" s="69">
        <f t="shared" si="256"/>
        <v>0</v>
      </c>
      <c r="CY258" s="69">
        <f t="shared" si="256"/>
        <v>0</v>
      </c>
      <c r="CZ258" s="69">
        <f t="shared" si="256"/>
        <v>0</v>
      </c>
      <c r="DA258" s="69">
        <f t="shared" si="256"/>
        <v>0</v>
      </c>
      <c r="DB258" s="69">
        <f t="shared" si="256"/>
        <v>0</v>
      </c>
      <c r="DC258" s="69">
        <f t="shared" si="256"/>
        <v>0</v>
      </c>
      <c r="DD258" s="69">
        <f t="shared" si="256"/>
        <v>0</v>
      </c>
      <c r="DE258" s="70">
        <f t="shared" si="222"/>
        <v>0</v>
      </c>
      <c r="DF258" s="70">
        <f t="shared" si="223"/>
        <v>0</v>
      </c>
      <c r="DG258"/>
      <c r="DH258"/>
    </row>
    <row r="259" spans="1:112" hidden="1" x14ac:dyDescent="0.2">
      <c r="A259" s="2"/>
      <c r="B259" s="35" t="s">
        <v>181</v>
      </c>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69">
        <f t="shared" ref="AE259:BB259" si="257">AE235</f>
        <v>0</v>
      </c>
      <c r="AF259" s="69">
        <f t="shared" si="257"/>
        <v>0</v>
      </c>
      <c r="AG259" s="69">
        <f t="shared" si="257"/>
        <v>0</v>
      </c>
      <c r="AH259" s="69">
        <f t="shared" si="257"/>
        <v>0</v>
      </c>
      <c r="AI259" s="69">
        <f t="shared" si="257"/>
        <v>0</v>
      </c>
      <c r="AJ259" s="69">
        <f t="shared" si="257"/>
        <v>0</v>
      </c>
      <c r="AK259" s="69">
        <f t="shared" si="257"/>
        <v>0</v>
      </c>
      <c r="AL259" s="69">
        <f t="shared" si="257"/>
        <v>0</v>
      </c>
      <c r="AM259" s="69">
        <f t="shared" si="257"/>
        <v>0</v>
      </c>
      <c r="AN259" s="69">
        <f t="shared" si="257"/>
        <v>0</v>
      </c>
      <c r="AO259" s="69">
        <f t="shared" si="257"/>
        <v>0</v>
      </c>
      <c r="AP259" s="69">
        <f t="shared" si="257"/>
        <v>0</v>
      </c>
      <c r="AQ259" s="69">
        <f t="shared" si="257"/>
        <v>0</v>
      </c>
      <c r="AR259" s="69">
        <f t="shared" si="257"/>
        <v>0</v>
      </c>
      <c r="AS259" s="69">
        <f t="shared" si="257"/>
        <v>0</v>
      </c>
      <c r="AT259" s="69">
        <f t="shared" si="257"/>
        <v>0</v>
      </c>
      <c r="AU259" s="69">
        <f t="shared" si="257"/>
        <v>0</v>
      </c>
      <c r="AV259" s="69">
        <f t="shared" si="257"/>
        <v>0</v>
      </c>
      <c r="AW259" s="69">
        <f t="shared" si="257"/>
        <v>0</v>
      </c>
      <c r="AX259" s="69">
        <f t="shared" si="257"/>
        <v>0</v>
      </c>
      <c r="AY259" s="69">
        <f t="shared" si="257"/>
        <v>0</v>
      </c>
      <c r="AZ259" s="69">
        <f t="shared" si="257"/>
        <v>0</v>
      </c>
      <c r="BA259" s="69">
        <f t="shared" si="257"/>
        <v>0</v>
      </c>
      <c r="BB259" s="69">
        <f t="shared" si="257"/>
        <v>0</v>
      </c>
      <c r="BC259" s="70">
        <f t="shared" si="216"/>
        <v>0</v>
      </c>
      <c r="BD259" s="70">
        <f t="shared" si="217"/>
        <v>0</v>
      </c>
      <c r="BE259" s="2"/>
      <c r="BF259" s="69">
        <f t="shared" ref="BF259:CC259" si="258">BF235</f>
        <v>0</v>
      </c>
      <c r="BG259" s="69">
        <f t="shared" si="258"/>
        <v>0</v>
      </c>
      <c r="BH259" s="69">
        <f t="shared" si="258"/>
        <v>0</v>
      </c>
      <c r="BI259" s="69">
        <f t="shared" si="258"/>
        <v>0</v>
      </c>
      <c r="BJ259" s="69">
        <f t="shared" si="258"/>
        <v>0</v>
      </c>
      <c r="BK259" s="69">
        <f t="shared" si="258"/>
        <v>0</v>
      </c>
      <c r="BL259" s="69">
        <f t="shared" si="258"/>
        <v>0</v>
      </c>
      <c r="BM259" s="69">
        <f t="shared" si="258"/>
        <v>0</v>
      </c>
      <c r="BN259" s="69">
        <f t="shared" si="258"/>
        <v>0</v>
      </c>
      <c r="BO259" s="69">
        <f t="shared" si="258"/>
        <v>0</v>
      </c>
      <c r="BP259" s="69">
        <f t="shared" si="258"/>
        <v>0</v>
      </c>
      <c r="BQ259" s="69">
        <f t="shared" si="258"/>
        <v>0</v>
      </c>
      <c r="BR259" s="69">
        <f t="shared" si="258"/>
        <v>0</v>
      </c>
      <c r="BS259" s="69">
        <f t="shared" si="258"/>
        <v>0</v>
      </c>
      <c r="BT259" s="69">
        <f t="shared" si="258"/>
        <v>0</v>
      </c>
      <c r="BU259" s="69">
        <f t="shared" si="258"/>
        <v>0</v>
      </c>
      <c r="BV259" s="69">
        <f t="shared" si="258"/>
        <v>0</v>
      </c>
      <c r="BW259" s="69">
        <f t="shared" si="258"/>
        <v>0</v>
      </c>
      <c r="BX259" s="69">
        <f t="shared" si="258"/>
        <v>0</v>
      </c>
      <c r="BY259" s="69">
        <f t="shared" si="258"/>
        <v>0</v>
      </c>
      <c r="BZ259" s="69">
        <f t="shared" si="258"/>
        <v>0</v>
      </c>
      <c r="CA259" s="69">
        <f t="shared" si="258"/>
        <v>0</v>
      </c>
      <c r="CB259" s="69">
        <f t="shared" si="258"/>
        <v>0</v>
      </c>
      <c r="CC259" s="69">
        <f t="shared" si="258"/>
        <v>0</v>
      </c>
      <c r="CD259" s="70">
        <f t="shared" si="219"/>
        <v>0</v>
      </c>
      <c r="CE259" s="70">
        <f t="shared" si="220"/>
        <v>0</v>
      </c>
      <c r="CF259" s="2"/>
      <c r="CG259" s="69">
        <f t="shared" ref="CG259:DD259" si="259">CG235</f>
        <v>0</v>
      </c>
      <c r="CH259" s="69">
        <f t="shared" si="259"/>
        <v>0</v>
      </c>
      <c r="CI259" s="69">
        <f t="shared" si="259"/>
        <v>0</v>
      </c>
      <c r="CJ259" s="69">
        <f t="shared" si="259"/>
        <v>0</v>
      </c>
      <c r="CK259" s="69">
        <f t="shared" si="259"/>
        <v>0</v>
      </c>
      <c r="CL259" s="69">
        <f t="shared" si="259"/>
        <v>0</v>
      </c>
      <c r="CM259" s="69">
        <f t="shared" si="259"/>
        <v>0</v>
      </c>
      <c r="CN259" s="69">
        <f t="shared" si="259"/>
        <v>0</v>
      </c>
      <c r="CO259" s="69">
        <f t="shared" si="259"/>
        <v>0</v>
      </c>
      <c r="CP259" s="69">
        <f t="shared" si="259"/>
        <v>0</v>
      </c>
      <c r="CQ259" s="69">
        <f t="shared" si="259"/>
        <v>0</v>
      </c>
      <c r="CR259" s="69">
        <f t="shared" si="259"/>
        <v>0</v>
      </c>
      <c r="CS259" s="69">
        <f t="shared" si="259"/>
        <v>0</v>
      </c>
      <c r="CT259" s="69">
        <f t="shared" si="259"/>
        <v>0</v>
      </c>
      <c r="CU259" s="69">
        <f t="shared" si="259"/>
        <v>0</v>
      </c>
      <c r="CV259" s="69">
        <f t="shared" si="259"/>
        <v>0</v>
      </c>
      <c r="CW259" s="69">
        <f t="shared" si="259"/>
        <v>0</v>
      </c>
      <c r="CX259" s="69">
        <f t="shared" si="259"/>
        <v>0</v>
      </c>
      <c r="CY259" s="69">
        <f t="shared" si="259"/>
        <v>0</v>
      </c>
      <c r="CZ259" s="69">
        <f t="shared" si="259"/>
        <v>0</v>
      </c>
      <c r="DA259" s="69">
        <f t="shared" si="259"/>
        <v>0</v>
      </c>
      <c r="DB259" s="69">
        <f t="shared" si="259"/>
        <v>0</v>
      </c>
      <c r="DC259" s="69">
        <f t="shared" si="259"/>
        <v>0</v>
      </c>
      <c r="DD259" s="69">
        <f t="shared" si="259"/>
        <v>0</v>
      </c>
      <c r="DE259" s="70">
        <f t="shared" si="222"/>
        <v>0</v>
      </c>
      <c r="DF259" s="70">
        <f t="shared" si="223"/>
        <v>0</v>
      </c>
      <c r="DG259"/>
      <c r="DH259"/>
    </row>
    <row r="260" spans="1:112" hidden="1" x14ac:dyDescent="0.2">
      <c r="A260" s="2"/>
      <c r="B260" s="35" t="s">
        <v>182</v>
      </c>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70">
        <f t="shared" ref="AE260:BB260" si="260">AE257+AE258+AE259</f>
        <v>0</v>
      </c>
      <c r="AF260" s="70">
        <f t="shared" si="260"/>
        <v>0</v>
      </c>
      <c r="AG260" s="70">
        <f t="shared" si="260"/>
        <v>0</v>
      </c>
      <c r="AH260" s="70">
        <f t="shared" si="260"/>
        <v>0</v>
      </c>
      <c r="AI260" s="70">
        <f t="shared" si="260"/>
        <v>0</v>
      </c>
      <c r="AJ260" s="70">
        <f t="shared" si="260"/>
        <v>0</v>
      </c>
      <c r="AK260" s="70">
        <f t="shared" si="260"/>
        <v>0</v>
      </c>
      <c r="AL260" s="70">
        <f t="shared" si="260"/>
        <v>0</v>
      </c>
      <c r="AM260" s="70">
        <f t="shared" si="260"/>
        <v>0</v>
      </c>
      <c r="AN260" s="70">
        <f t="shared" si="260"/>
        <v>0</v>
      </c>
      <c r="AO260" s="70">
        <f t="shared" si="260"/>
        <v>0</v>
      </c>
      <c r="AP260" s="70">
        <f t="shared" si="260"/>
        <v>0</v>
      </c>
      <c r="AQ260" s="70">
        <f t="shared" si="260"/>
        <v>0</v>
      </c>
      <c r="AR260" s="70">
        <f t="shared" si="260"/>
        <v>0</v>
      </c>
      <c r="AS260" s="70">
        <f t="shared" si="260"/>
        <v>0</v>
      </c>
      <c r="AT260" s="70">
        <f t="shared" si="260"/>
        <v>0</v>
      </c>
      <c r="AU260" s="70">
        <f t="shared" si="260"/>
        <v>0</v>
      </c>
      <c r="AV260" s="70">
        <f t="shared" si="260"/>
        <v>0</v>
      </c>
      <c r="AW260" s="70">
        <f t="shared" si="260"/>
        <v>0</v>
      </c>
      <c r="AX260" s="70">
        <f t="shared" si="260"/>
        <v>0</v>
      </c>
      <c r="AY260" s="70">
        <f t="shared" si="260"/>
        <v>0</v>
      </c>
      <c r="AZ260" s="70">
        <f t="shared" si="260"/>
        <v>0</v>
      </c>
      <c r="BA260" s="70">
        <f t="shared" si="260"/>
        <v>0</v>
      </c>
      <c r="BB260" s="70">
        <f t="shared" si="260"/>
        <v>0</v>
      </c>
      <c r="BC260" s="70">
        <f t="shared" si="216"/>
        <v>0</v>
      </c>
      <c r="BD260" s="70">
        <f t="shared" si="217"/>
        <v>0</v>
      </c>
      <c r="BE260" s="2"/>
      <c r="BF260" s="70">
        <f t="shared" ref="BF260:CC260" si="261">BF257+BF258+BF259</f>
        <v>0</v>
      </c>
      <c r="BG260" s="70">
        <f t="shared" si="261"/>
        <v>0</v>
      </c>
      <c r="BH260" s="70">
        <f t="shared" si="261"/>
        <v>0</v>
      </c>
      <c r="BI260" s="70">
        <f t="shared" si="261"/>
        <v>0</v>
      </c>
      <c r="BJ260" s="70">
        <f t="shared" si="261"/>
        <v>0</v>
      </c>
      <c r="BK260" s="70">
        <f t="shared" si="261"/>
        <v>0</v>
      </c>
      <c r="BL260" s="70">
        <f t="shared" si="261"/>
        <v>0</v>
      </c>
      <c r="BM260" s="70">
        <f t="shared" si="261"/>
        <v>0</v>
      </c>
      <c r="BN260" s="70">
        <f t="shared" si="261"/>
        <v>0</v>
      </c>
      <c r="BO260" s="70">
        <f t="shared" si="261"/>
        <v>0</v>
      </c>
      <c r="BP260" s="70">
        <f t="shared" si="261"/>
        <v>0</v>
      </c>
      <c r="BQ260" s="70">
        <f t="shared" si="261"/>
        <v>0</v>
      </c>
      <c r="BR260" s="70">
        <f t="shared" si="261"/>
        <v>0</v>
      </c>
      <c r="BS260" s="70">
        <f t="shared" si="261"/>
        <v>0</v>
      </c>
      <c r="BT260" s="70">
        <f t="shared" si="261"/>
        <v>0</v>
      </c>
      <c r="BU260" s="70">
        <f t="shared" si="261"/>
        <v>0</v>
      </c>
      <c r="BV260" s="70">
        <f t="shared" si="261"/>
        <v>0</v>
      </c>
      <c r="BW260" s="70">
        <f t="shared" si="261"/>
        <v>0</v>
      </c>
      <c r="BX260" s="70">
        <f t="shared" si="261"/>
        <v>0</v>
      </c>
      <c r="BY260" s="70">
        <f t="shared" si="261"/>
        <v>0</v>
      </c>
      <c r="BZ260" s="70">
        <f t="shared" si="261"/>
        <v>0</v>
      </c>
      <c r="CA260" s="70">
        <f t="shared" si="261"/>
        <v>0</v>
      </c>
      <c r="CB260" s="70">
        <f t="shared" si="261"/>
        <v>0</v>
      </c>
      <c r="CC260" s="70">
        <f t="shared" si="261"/>
        <v>0</v>
      </c>
      <c r="CD260" s="70">
        <f t="shared" si="219"/>
        <v>0</v>
      </c>
      <c r="CE260" s="70">
        <f t="shared" si="220"/>
        <v>0</v>
      </c>
      <c r="CF260" s="2"/>
      <c r="CG260" s="70">
        <f t="shared" ref="CG260:DD260" si="262">CG257+CG258+CG259</f>
        <v>0</v>
      </c>
      <c r="CH260" s="70">
        <f t="shared" si="262"/>
        <v>0</v>
      </c>
      <c r="CI260" s="70">
        <f t="shared" si="262"/>
        <v>0</v>
      </c>
      <c r="CJ260" s="70">
        <f t="shared" si="262"/>
        <v>0</v>
      </c>
      <c r="CK260" s="70">
        <f t="shared" si="262"/>
        <v>0</v>
      </c>
      <c r="CL260" s="70">
        <f t="shared" si="262"/>
        <v>0</v>
      </c>
      <c r="CM260" s="70">
        <f t="shared" si="262"/>
        <v>0</v>
      </c>
      <c r="CN260" s="70">
        <f t="shared" si="262"/>
        <v>0</v>
      </c>
      <c r="CO260" s="70">
        <f t="shared" si="262"/>
        <v>0</v>
      </c>
      <c r="CP260" s="70">
        <f t="shared" si="262"/>
        <v>0</v>
      </c>
      <c r="CQ260" s="70">
        <f t="shared" si="262"/>
        <v>0</v>
      </c>
      <c r="CR260" s="70">
        <f t="shared" si="262"/>
        <v>0</v>
      </c>
      <c r="CS260" s="70">
        <f t="shared" si="262"/>
        <v>0</v>
      </c>
      <c r="CT260" s="70">
        <f t="shared" si="262"/>
        <v>0</v>
      </c>
      <c r="CU260" s="70">
        <f t="shared" si="262"/>
        <v>0</v>
      </c>
      <c r="CV260" s="70">
        <f t="shared" si="262"/>
        <v>0</v>
      </c>
      <c r="CW260" s="70">
        <f t="shared" si="262"/>
        <v>0</v>
      </c>
      <c r="CX260" s="70">
        <f t="shared" si="262"/>
        <v>0</v>
      </c>
      <c r="CY260" s="70">
        <f t="shared" si="262"/>
        <v>0</v>
      </c>
      <c r="CZ260" s="70">
        <f t="shared" si="262"/>
        <v>0</v>
      </c>
      <c r="DA260" s="70">
        <f t="shared" si="262"/>
        <v>0</v>
      </c>
      <c r="DB260" s="70">
        <f t="shared" si="262"/>
        <v>0</v>
      </c>
      <c r="DC260" s="70">
        <f t="shared" si="262"/>
        <v>0</v>
      </c>
      <c r="DD260" s="70">
        <f t="shared" si="262"/>
        <v>0</v>
      </c>
      <c r="DE260" s="70">
        <f t="shared" si="222"/>
        <v>0</v>
      </c>
      <c r="DF260" s="70">
        <f t="shared" si="223"/>
        <v>0</v>
      </c>
      <c r="DG260"/>
      <c r="DH260"/>
    </row>
    <row r="261" spans="1:112" hidden="1" x14ac:dyDescent="0.2">
      <c r="A261" s="2"/>
      <c r="B261" s="35" t="s">
        <v>183</v>
      </c>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69">
        <f t="shared" ref="AE261:BB261" si="263">AE215+AE241-AE242</f>
        <v>0</v>
      </c>
      <c r="AF261" s="69">
        <f t="shared" si="263"/>
        <v>0</v>
      </c>
      <c r="AG261" s="69">
        <f t="shared" si="263"/>
        <v>0</v>
      </c>
      <c r="AH261" s="69">
        <f t="shared" si="263"/>
        <v>0</v>
      </c>
      <c r="AI261" s="69">
        <f t="shared" si="263"/>
        <v>0</v>
      </c>
      <c r="AJ261" s="69">
        <f t="shared" si="263"/>
        <v>0</v>
      </c>
      <c r="AK261" s="69">
        <f t="shared" si="263"/>
        <v>0</v>
      </c>
      <c r="AL261" s="69">
        <f t="shared" si="263"/>
        <v>0</v>
      </c>
      <c r="AM261" s="69">
        <f t="shared" si="263"/>
        <v>0</v>
      </c>
      <c r="AN261" s="69">
        <f t="shared" si="263"/>
        <v>0</v>
      </c>
      <c r="AO261" s="69">
        <f t="shared" si="263"/>
        <v>0</v>
      </c>
      <c r="AP261" s="69">
        <f t="shared" si="263"/>
        <v>0</v>
      </c>
      <c r="AQ261" s="69">
        <f t="shared" si="263"/>
        <v>0</v>
      </c>
      <c r="AR261" s="69">
        <f t="shared" si="263"/>
        <v>0</v>
      </c>
      <c r="AS261" s="69">
        <f t="shared" si="263"/>
        <v>0</v>
      </c>
      <c r="AT261" s="69">
        <f t="shared" si="263"/>
        <v>0</v>
      </c>
      <c r="AU261" s="69">
        <f t="shared" si="263"/>
        <v>0</v>
      </c>
      <c r="AV261" s="69">
        <f t="shared" si="263"/>
        <v>0</v>
      </c>
      <c r="AW261" s="69">
        <f t="shared" si="263"/>
        <v>0</v>
      </c>
      <c r="AX261" s="69">
        <f t="shared" si="263"/>
        <v>0</v>
      </c>
      <c r="AY261" s="69">
        <f t="shared" si="263"/>
        <v>0</v>
      </c>
      <c r="AZ261" s="69">
        <f t="shared" si="263"/>
        <v>0</v>
      </c>
      <c r="BA261" s="69">
        <f t="shared" si="263"/>
        <v>0</v>
      </c>
      <c r="BB261" s="69">
        <f t="shared" si="263"/>
        <v>0</v>
      </c>
      <c r="BC261" s="70">
        <f t="shared" si="216"/>
        <v>0</v>
      </c>
      <c r="BD261" s="70">
        <f t="shared" si="217"/>
        <v>0</v>
      </c>
      <c r="BE261" s="2"/>
      <c r="BF261" s="69">
        <f t="shared" ref="BF261:CC261" si="264">BF215+BF241-BF242</f>
        <v>0</v>
      </c>
      <c r="BG261" s="69">
        <f t="shared" si="264"/>
        <v>0</v>
      </c>
      <c r="BH261" s="69">
        <f t="shared" si="264"/>
        <v>0</v>
      </c>
      <c r="BI261" s="69">
        <f t="shared" si="264"/>
        <v>0</v>
      </c>
      <c r="BJ261" s="69">
        <f t="shared" si="264"/>
        <v>0</v>
      </c>
      <c r="BK261" s="69">
        <f t="shared" si="264"/>
        <v>0</v>
      </c>
      <c r="BL261" s="69">
        <f t="shared" si="264"/>
        <v>0</v>
      </c>
      <c r="BM261" s="69">
        <f t="shared" si="264"/>
        <v>0</v>
      </c>
      <c r="BN261" s="69">
        <f t="shared" si="264"/>
        <v>0</v>
      </c>
      <c r="BO261" s="69">
        <f t="shared" si="264"/>
        <v>0</v>
      </c>
      <c r="BP261" s="69">
        <f t="shared" si="264"/>
        <v>0</v>
      </c>
      <c r="BQ261" s="69">
        <f t="shared" si="264"/>
        <v>0</v>
      </c>
      <c r="BR261" s="69">
        <f t="shared" si="264"/>
        <v>0</v>
      </c>
      <c r="BS261" s="69">
        <f t="shared" si="264"/>
        <v>0</v>
      </c>
      <c r="BT261" s="69">
        <f t="shared" si="264"/>
        <v>0</v>
      </c>
      <c r="BU261" s="69">
        <f t="shared" si="264"/>
        <v>0</v>
      </c>
      <c r="BV261" s="69">
        <f t="shared" si="264"/>
        <v>0</v>
      </c>
      <c r="BW261" s="69">
        <f t="shared" si="264"/>
        <v>0</v>
      </c>
      <c r="BX261" s="69">
        <f t="shared" si="264"/>
        <v>0</v>
      </c>
      <c r="BY261" s="69">
        <f t="shared" si="264"/>
        <v>0</v>
      </c>
      <c r="BZ261" s="69">
        <f t="shared" si="264"/>
        <v>0</v>
      </c>
      <c r="CA261" s="69">
        <f t="shared" si="264"/>
        <v>0</v>
      </c>
      <c r="CB261" s="69">
        <f t="shared" si="264"/>
        <v>0</v>
      </c>
      <c r="CC261" s="69">
        <f t="shared" si="264"/>
        <v>0</v>
      </c>
      <c r="CD261" s="70">
        <f t="shared" si="219"/>
        <v>0</v>
      </c>
      <c r="CE261" s="70">
        <f t="shared" si="220"/>
        <v>0</v>
      </c>
      <c r="CF261" s="2"/>
      <c r="CG261" s="69">
        <f t="shared" ref="CG261:DD261" si="265">CG215+CG241-CG242</f>
        <v>0</v>
      </c>
      <c r="CH261" s="69">
        <f t="shared" si="265"/>
        <v>0</v>
      </c>
      <c r="CI261" s="69">
        <f t="shared" si="265"/>
        <v>0</v>
      </c>
      <c r="CJ261" s="69">
        <f t="shared" si="265"/>
        <v>0</v>
      </c>
      <c r="CK261" s="69">
        <f t="shared" si="265"/>
        <v>0</v>
      </c>
      <c r="CL261" s="69">
        <f t="shared" si="265"/>
        <v>0</v>
      </c>
      <c r="CM261" s="69">
        <f t="shared" si="265"/>
        <v>0</v>
      </c>
      <c r="CN261" s="69">
        <f t="shared" si="265"/>
        <v>0</v>
      </c>
      <c r="CO261" s="69">
        <f t="shared" si="265"/>
        <v>0</v>
      </c>
      <c r="CP261" s="69">
        <f t="shared" si="265"/>
        <v>0</v>
      </c>
      <c r="CQ261" s="69">
        <f t="shared" si="265"/>
        <v>0</v>
      </c>
      <c r="CR261" s="69">
        <f t="shared" si="265"/>
        <v>0</v>
      </c>
      <c r="CS261" s="69">
        <f t="shared" si="265"/>
        <v>0</v>
      </c>
      <c r="CT261" s="69">
        <f t="shared" si="265"/>
        <v>0</v>
      </c>
      <c r="CU261" s="69">
        <f t="shared" si="265"/>
        <v>0</v>
      </c>
      <c r="CV261" s="69">
        <f t="shared" si="265"/>
        <v>0</v>
      </c>
      <c r="CW261" s="69">
        <f t="shared" si="265"/>
        <v>0</v>
      </c>
      <c r="CX261" s="69">
        <f t="shared" si="265"/>
        <v>0</v>
      </c>
      <c r="CY261" s="69">
        <f t="shared" si="265"/>
        <v>0</v>
      </c>
      <c r="CZ261" s="69">
        <f t="shared" si="265"/>
        <v>0</v>
      </c>
      <c r="DA261" s="69">
        <f t="shared" si="265"/>
        <v>0</v>
      </c>
      <c r="DB261" s="69">
        <f t="shared" si="265"/>
        <v>0</v>
      </c>
      <c r="DC261" s="69">
        <f t="shared" si="265"/>
        <v>0</v>
      </c>
      <c r="DD261" s="69">
        <f t="shared" si="265"/>
        <v>0</v>
      </c>
      <c r="DE261" s="70">
        <f t="shared" si="222"/>
        <v>0</v>
      </c>
      <c r="DF261" s="70">
        <f t="shared" si="223"/>
        <v>0</v>
      </c>
      <c r="DG261"/>
      <c r="DH261"/>
    </row>
    <row r="262" spans="1:112" hidden="1" x14ac:dyDescent="0.2">
      <c r="A262" s="2"/>
      <c r="B262" s="35" t="s">
        <v>184</v>
      </c>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70">
        <f t="shared" ref="AE262:BB262" si="266">AE260+AE261</f>
        <v>0</v>
      </c>
      <c r="AF262" s="70">
        <f t="shared" si="266"/>
        <v>0</v>
      </c>
      <c r="AG262" s="70">
        <f t="shared" si="266"/>
        <v>0</v>
      </c>
      <c r="AH262" s="70">
        <f t="shared" si="266"/>
        <v>0</v>
      </c>
      <c r="AI262" s="70">
        <f t="shared" si="266"/>
        <v>0</v>
      </c>
      <c r="AJ262" s="70">
        <f t="shared" si="266"/>
        <v>0</v>
      </c>
      <c r="AK262" s="70">
        <f t="shared" si="266"/>
        <v>0</v>
      </c>
      <c r="AL262" s="70">
        <f t="shared" si="266"/>
        <v>0</v>
      </c>
      <c r="AM262" s="70">
        <f t="shared" si="266"/>
        <v>0</v>
      </c>
      <c r="AN262" s="70">
        <f t="shared" si="266"/>
        <v>0</v>
      </c>
      <c r="AO262" s="70">
        <f t="shared" si="266"/>
        <v>0</v>
      </c>
      <c r="AP262" s="70">
        <f t="shared" si="266"/>
        <v>0</v>
      </c>
      <c r="AQ262" s="70">
        <f t="shared" si="266"/>
        <v>0</v>
      </c>
      <c r="AR262" s="70">
        <f t="shared" si="266"/>
        <v>0</v>
      </c>
      <c r="AS262" s="70">
        <f t="shared" si="266"/>
        <v>0</v>
      </c>
      <c r="AT262" s="70">
        <f t="shared" si="266"/>
        <v>0</v>
      </c>
      <c r="AU262" s="70">
        <f t="shared" si="266"/>
        <v>0</v>
      </c>
      <c r="AV262" s="70">
        <f t="shared" si="266"/>
        <v>0</v>
      </c>
      <c r="AW262" s="70">
        <f t="shared" si="266"/>
        <v>0</v>
      </c>
      <c r="AX262" s="70">
        <f t="shared" si="266"/>
        <v>0</v>
      </c>
      <c r="AY262" s="70">
        <f t="shared" si="266"/>
        <v>0</v>
      </c>
      <c r="AZ262" s="70">
        <f t="shared" si="266"/>
        <v>0</v>
      </c>
      <c r="BA262" s="70">
        <f t="shared" si="266"/>
        <v>0</v>
      </c>
      <c r="BB262" s="70">
        <f t="shared" si="266"/>
        <v>0</v>
      </c>
      <c r="BC262" s="70">
        <f t="shared" si="216"/>
        <v>0</v>
      </c>
      <c r="BD262" s="70">
        <f t="shared" si="217"/>
        <v>0</v>
      </c>
      <c r="BE262" s="2"/>
      <c r="BF262" s="70">
        <f t="shared" ref="BF262:CC262" si="267">BF260+BF261</f>
        <v>0</v>
      </c>
      <c r="BG262" s="70">
        <f t="shared" si="267"/>
        <v>0</v>
      </c>
      <c r="BH262" s="70">
        <f t="shared" si="267"/>
        <v>0</v>
      </c>
      <c r="BI262" s="70">
        <f t="shared" si="267"/>
        <v>0</v>
      </c>
      <c r="BJ262" s="70">
        <f t="shared" si="267"/>
        <v>0</v>
      </c>
      <c r="BK262" s="70">
        <f t="shared" si="267"/>
        <v>0</v>
      </c>
      <c r="BL262" s="70">
        <f t="shared" si="267"/>
        <v>0</v>
      </c>
      <c r="BM262" s="70">
        <f t="shared" si="267"/>
        <v>0</v>
      </c>
      <c r="BN262" s="70">
        <f t="shared" si="267"/>
        <v>0</v>
      </c>
      <c r="BO262" s="70">
        <f t="shared" si="267"/>
        <v>0</v>
      </c>
      <c r="BP262" s="70">
        <f t="shared" si="267"/>
        <v>0</v>
      </c>
      <c r="BQ262" s="70">
        <f t="shared" si="267"/>
        <v>0</v>
      </c>
      <c r="BR262" s="70">
        <f t="shared" si="267"/>
        <v>0</v>
      </c>
      <c r="BS262" s="70">
        <f t="shared" si="267"/>
        <v>0</v>
      </c>
      <c r="BT262" s="70">
        <f t="shared" si="267"/>
        <v>0</v>
      </c>
      <c r="BU262" s="70">
        <f t="shared" si="267"/>
        <v>0</v>
      </c>
      <c r="BV262" s="70">
        <f t="shared" si="267"/>
        <v>0</v>
      </c>
      <c r="BW262" s="70">
        <f t="shared" si="267"/>
        <v>0</v>
      </c>
      <c r="BX262" s="70">
        <f t="shared" si="267"/>
        <v>0</v>
      </c>
      <c r="BY262" s="70">
        <f t="shared" si="267"/>
        <v>0</v>
      </c>
      <c r="BZ262" s="70">
        <f t="shared" si="267"/>
        <v>0</v>
      </c>
      <c r="CA262" s="70">
        <f t="shared" si="267"/>
        <v>0</v>
      </c>
      <c r="CB262" s="70">
        <f t="shared" si="267"/>
        <v>0</v>
      </c>
      <c r="CC262" s="70">
        <f t="shared" si="267"/>
        <v>0</v>
      </c>
      <c r="CD262" s="70">
        <f t="shared" si="219"/>
        <v>0</v>
      </c>
      <c r="CE262" s="70">
        <f t="shared" si="220"/>
        <v>0</v>
      </c>
      <c r="CF262" s="2"/>
      <c r="CG262" s="70">
        <f t="shared" ref="CG262:DD262" si="268">CG260+CG261</f>
        <v>0</v>
      </c>
      <c r="CH262" s="70">
        <f t="shared" si="268"/>
        <v>0</v>
      </c>
      <c r="CI262" s="70">
        <f t="shared" si="268"/>
        <v>0</v>
      </c>
      <c r="CJ262" s="70">
        <f t="shared" si="268"/>
        <v>0</v>
      </c>
      <c r="CK262" s="70">
        <f t="shared" si="268"/>
        <v>0</v>
      </c>
      <c r="CL262" s="70">
        <f t="shared" si="268"/>
        <v>0</v>
      </c>
      <c r="CM262" s="70">
        <f t="shared" si="268"/>
        <v>0</v>
      </c>
      <c r="CN262" s="70">
        <f t="shared" si="268"/>
        <v>0</v>
      </c>
      <c r="CO262" s="70">
        <f t="shared" si="268"/>
        <v>0</v>
      </c>
      <c r="CP262" s="70">
        <f t="shared" si="268"/>
        <v>0</v>
      </c>
      <c r="CQ262" s="70">
        <f t="shared" si="268"/>
        <v>0</v>
      </c>
      <c r="CR262" s="70">
        <f t="shared" si="268"/>
        <v>0</v>
      </c>
      <c r="CS262" s="70">
        <f t="shared" si="268"/>
        <v>0</v>
      </c>
      <c r="CT262" s="70">
        <f t="shared" si="268"/>
        <v>0</v>
      </c>
      <c r="CU262" s="70">
        <f t="shared" si="268"/>
        <v>0</v>
      </c>
      <c r="CV262" s="70">
        <f t="shared" si="268"/>
        <v>0</v>
      </c>
      <c r="CW262" s="70">
        <f t="shared" si="268"/>
        <v>0</v>
      </c>
      <c r="CX262" s="70">
        <f t="shared" si="268"/>
        <v>0</v>
      </c>
      <c r="CY262" s="70">
        <f t="shared" si="268"/>
        <v>0</v>
      </c>
      <c r="CZ262" s="70">
        <f t="shared" si="268"/>
        <v>0</v>
      </c>
      <c r="DA262" s="70">
        <f t="shared" si="268"/>
        <v>0</v>
      </c>
      <c r="DB262" s="70">
        <f t="shared" si="268"/>
        <v>0</v>
      </c>
      <c r="DC262" s="70">
        <f t="shared" si="268"/>
        <v>0</v>
      </c>
      <c r="DD262" s="70">
        <f t="shared" si="268"/>
        <v>0</v>
      </c>
      <c r="DE262" s="70">
        <f t="shared" si="222"/>
        <v>0</v>
      </c>
      <c r="DF262" s="70">
        <f t="shared" si="223"/>
        <v>0</v>
      </c>
      <c r="DG262"/>
      <c r="DH262"/>
    </row>
    <row r="263" spans="1:112" hidden="1" x14ac:dyDescent="0.2">
      <c r="A263" s="2"/>
      <c r="B263" s="35" t="s">
        <v>185</v>
      </c>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69">
        <f>inp_open_sc</f>
        <v>0</v>
      </c>
      <c r="AF263" s="69">
        <f t="shared" ref="AF263:BB263" si="269">AE264</f>
        <v>0</v>
      </c>
      <c r="AG263" s="69">
        <f t="shared" si="269"/>
        <v>0</v>
      </c>
      <c r="AH263" s="69">
        <f t="shared" si="269"/>
        <v>0</v>
      </c>
      <c r="AI263" s="69">
        <f t="shared" si="269"/>
        <v>0</v>
      </c>
      <c r="AJ263" s="69">
        <f t="shared" si="269"/>
        <v>0</v>
      </c>
      <c r="AK263" s="69">
        <f t="shared" si="269"/>
        <v>0</v>
      </c>
      <c r="AL263" s="69">
        <f t="shared" si="269"/>
        <v>0</v>
      </c>
      <c r="AM263" s="69">
        <f t="shared" si="269"/>
        <v>0</v>
      </c>
      <c r="AN263" s="69">
        <f t="shared" si="269"/>
        <v>0</v>
      </c>
      <c r="AO263" s="69">
        <f t="shared" si="269"/>
        <v>0</v>
      </c>
      <c r="AP263" s="69">
        <f t="shared" si="269"/>
        <v>0</v>
      </c>
      <c r="AQ263" s="69">
        <f t="shared" si="269"/>
        <v>0</v>
      </c>
      <c r="AR263" s="69">
        <f t="shared" si="269"/>
        <v>0</v>
      </c>
      <c r="AS263" s="69">
        <f t="shared" si="269"/>
        <v>0</v>
      </c>
      <c r="AT263" s="69">
        <f t="shared" si="269"/>
        <v>0</v>
      </c>
      <c r="AU263" s="69">
        <f t="shared" si="269"/>
        <v>0</v>
      </c>
      <c r="AV263" s="69">
        <f t="shared" si="269"/>
        <v>0</v>
      </c>
      <c r="AW263" s="69">
        <f t="shared" si="269"/>
        <v>0</v>
      </c>
      <c r="AX263" s="69">
        <f t="shared" si="269"/>
        <v>0</v>
      </c>
      <c r="AY263" s="69">
        <f t="shared" si="269"/>
        <v>0</v>
      </c>
      <c r="AZ263" s="69">
        <f t="shared" si="269"/>
        <v>0</v>
      </c>
      <c r="BA263" s="69">
        <f t="shared" si="269"/>
        <v>0</v>
      </c>
      <c r="BB263" s="69">
        <f t="shared" si="269"/>
        <v>0</v>
      </c>
      <c r="BC263" s="70">
        <f t="shared" si="216"/>
        <v>0</v>
      </c>
      <c r="BD263" s="70">
        <f t="shared" si="217"/>
        <v>0</v>
      </c>
      <c r="BE263" s="2"/>
      <c r="BF263" s="69">
        <f>inp_open_sc</f>
        <v>0</v>
      </c>
      <c r="BG263" s="69">
        <f t="shared" ref="BG263:CC263" si="270">BF264</f>
        <v>0</v>
      </c>
      <c r="BH263" s="69">
        <f t="shared" si="270"/>
        <v>0</v>
      </c>
      <c r="BI263" s="69">
        <f t="shared" si="270"/>
        <v>0</v>
      </c>
      <c r="BJ263" s="69">
        <f t="shared" si="270"/>
        <v>0</v>
      </c>
      <c r="BK263" s="69">
        <f t="shared" si="270"/>
        <v>0</v>
      </c>
      <c r="BL263" s="69">
        <f t="shared" si="270"/>
        <v>0</v>
      </c>
      <c r="BM263" s="69">
        <f t="shared" si="270"/>
        <v>0</v>
      </c>
      <c r="BN263" s="69">
        <f t="shared" si="270"/>
        <v>0</v>
      </c>
      <c r="BO263" s="69">
        <f t="shared" si="270"/>
        <v>0</v>
      </c>
      <c r="BP263" s="69">
        <f t="shared" si="270"/>
        <v>0</v>
      </c>
      <c r="BQ263" s="69">
        <f t="shared" si="270"/>
        <v>0</v>
      </c>
      <c r="BR263" s="69">
        <f t="shared" si="270"/>
        <v>0</v>
      </c>
      <c r="BS263" s="69">
        <f t="shared" si="270"/>
        <v>0</v>
      </c>
      <c r="BT263" s="69">
        <f t="shared" si="270"/>
        <v>0</v>
      </c>
      <c r="BU263" s="69">
        <f t="shared" si="270"/>
        <v>0</v>
      </c>
      <c r="BV263" s="69">
        <f t="shared" si="270"/>
        <v>0</v>
      </c>
      <c r="BW263" s="69">
        <f t="shared" si="270"/>
        <v>0</v>
      </c>
      <c r="BX263" s="69">
        <f t="shared" si="270"/>
        <v>0</v>
      </c>
      <c r="BY263" s="69">
        <f t="shared" si="270"/>
        <v>0</v>
      </c>
      <c r="BZ263" s="69">
        <f t="shared" si="270"/>
        <v>0</v>
      </c>
      <c r="CA263" s="69">
        <f t="shared" si="270"/>
        <v>0</v>
      </c>
      <c r="CB263" s="69">
        <f t="shared" si="270"/>
        <v>0</v>
      </c>
      <c r="CC263" s="69">
        <f t="shared" si="270"/>
        <v>0</v>
      </c>
      <c r="CD263" s="70">
        <f t="shared" si="219"/>
        <v>0</v>
      </c>
      <c r="CE263" s="70">
        <f t="shared" si="220"/>
        <v>0</v>
      </c>
      <c r="CF263" s="2"/>
      <c r="CG263" s="69">
        <f>inp_open_sc</f>
        <v>0</v>
      </c>
      <c r="CH263" s="69">
        <f t="shared" ref="CH263:DD263" si="271">CG264</f>
        <v>0</v>
      </c>
      <c r="CI263" s="69">
        <f t="shared" si="271"/>
        <v>0</v>
      </c>
      <c r="CJ263" s="69">
        <f t="shared" si="271"/>
        <v>0</v>
      </c>
      <c r="CK263" s="69">
        <f t="shared" si="271"/>
        <v>0</v>
      </c>
      <c r="CL263" s="69">
        <f t="shared" si="271"/>
        <v>0</v>
      </c>
      <c r="CM263" s="69">
        <f t="shared" si="271"/>
        <v>0</v>
      </c>
      <c r="CN263" s="69">
        <f t="shared" si="271"/>
        <v>0</v>
      </c>
      <c r="CO263" s="69">
        <f t="shared" si="271"/>
        <v>0</v>
      </c>
      <c r="CP263" s="69">
        <f t="shared" si="271"/>
        <v>0</v>
      </c>
      <c r="CQ263" s="69">
        <f t="shared" si="271"/>
        <v>0</v>
      </c>
      <c r="CR263" s="69">
        <f t="shared" si="271"/>
        <v>0</v>
      </c>
      <c r="CS263" s="69">
        <f t="shared" si="271"/>
        <v>0</v>
      </c>
      <c r="CT263" s="69">
        <f t="shared" si="271"/>
        <v>0</v>
      </c>
      <c r="CU263" s="69">
        <f t="shared" si="271"/>
        <v>0</v>
      </c>
      <c r="CV263" s="69">
        <f t="shared" si="271"/>
        <v>0</v>
      </c>
      <c r="CW263" s="69">
        <f t="shared" si="271"/>
        <v>0</v>
      </c>
      <c r="CX263" s="69">
        <f t="shared" si="271"/>
        <v>0</v>
      </c>
      <c r="CY263" s="69">
        <f t="shared" si="271"/>
        <v>0</v>
      </c>
      <c r="CZ263" s="69">
        <f t="shared" si="271"/>
        <v>0</v>
      </c>
      <c r="DA263" s="69">
        <f t="shared" si="271"/>
        <v>0</v>
      </c>
      <c r="DB263" s="69">
        <f t="shared" si="271"/>
        <v>0</v>
      </c>
      <c r="DC263" s="69">
        <f t="shared" si="271"/>
        <v>0</v>
      </c>
      <c r="DD263" s="69">
        <f t="shared" si="271"/>
        <v>0</v>
      </c>
      <c r="DE263" s="70">
        <f t="shared" si="222"/>
        <v>0</v>
      </c>
      <c r="DF263" s="70">
        <f t="shared" si="223"/>
        <v>0</v>
      </c>
      <c r="DG263"/>
      <c r="DH263"/>
    </row>
    <row r="264" spans="1:112" hidden="1" x14ac:dyDescent="0.2">
      <c r="A264" s="2"/>
      <c r="B264" s="35" t="s">
        <v>186</v>
      </c>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69">
        <f t="shared" ref="AE264:BB264" si="272">AE263+AE244</f>
        <v>0</v>
      </c>
      <c r="AF264" s="69">
        <f t="shared" si="272"/>
        <v>0</v>
      </c>
      <c r="AG264" s="69">
        <f t="shared" si="272"/>
        <v>0</v>
      </c>
      <c r="AH264" s="69">
        <f t="shared" si="272"/>
        <v>0</v>
      </c>
      <c r="AI264" s="69">
        <f t="shared" si="272"/>
        <v>0</v>
      </c>
      <c r="AJ264" s="69">
        <f t="shared" si="272"/>
        <v>0</v>
      </c>
      <c r="AK264" s="69">
        <f t="shared" si="272"/>
        <v>0</v>
      </c>
      <c r="AL264" s="69">
        <f t="shared" si="272"/>
        <v>0</v>
      </c>
      <c r="AM264" s="69">
        <f t="shared" si="272"/>
        <v>0</v>
      </c>
      <c r="AN264" s="69">
        <f t="shared" si="272"/>
        <v>0</v>
      </c>
      <c r="AO264" s="69">
        <f t="shared" si="272"/>
        <v>0</v>
      </c>
      <c r="AP264" s="69">
        <f t="shared" si="272"/>
        <v>0</v>
      </c>
      <c r="AQ264" s="69">
        <f t="shared" si="272"/>
        <v>0</v>
      </c>
      <c r="AR264" s="69">
        <f t="shared" si="272"/>
        <v>0</v>
      </c>
      <c r="AS264" s="69">
        <f t="shared" si="272"/>
        <v>0</v>
      </c>
      <c r="AT264" s="69">
        <f t="shared" si="272"/>
        <v>0</v>
      </c>
      <c r="AU264" s="69">
        <f t="shared" si="272"/>
        <v>0</v>
      </c>
      <c r="AV264" s="69">
        <f t="shared" si="272"/>
        <v>0</v>
      </c>
      <c r="AW264" s="69">
        <f t="shared" si="272"/>
        <v>0</v>
      </c>
      <c r="AX264" s="69">
        <f t="shared" si="272"/>
        <v>0</v>
      </c>
      <c r="AY264" s="69">
        <f t="shared" si="272"/>
        <v>0</v>
      </c>
      <c r="AZ264" s="69">
        <f t="shared" si="272"/>
        <v>0</v>
      </c>
      <c r="BA264" s="69">
        <f t="shared" si="272"/>
        <v>0</v>
      </c>
      <c r="BB264" s="69">
        <f t="shared" si="272"/>
        <v>0</v>
      </c>
      <c r="BC264" s="70">
        <f t="shared" si="216"/>
        <v>0</v>
      </c>
      <c r="BD264" s="70">
        <f t="shared" si="217"/>
        <v>0</v>
      </c>
      <c r="BE264" s="2"/>
      <c r="BF264" s="69">
        <f t="shared" ref="BF264:CC264" si="273">BF263+BF244</f>
        <v>0</v>
      </c>
      <c r="BG264" s="69">
        <f t="shared" si="273"/>
        <v>0</v>
      </c>
      <c r="BH264" s="69">
        <f t="shared" si="273"/>
        <v>0</v>
      </c>
      <c r="BI264" s="69">
        <f t="shared" si="273"/>
        <v>0</v>
      </c>
      <c r="BJ264" s="69">
        <f t="shared" si="273"/>
        <v>0</v>
      </c>
      <c r="BK264" s="69">
        <f t="shared" si="273"/>
        <v>0</v>
      </c>
      <c r="BL264" s="69">
        <f t="shared" si="273"/>
        <v>0</v>
      </c>
      <c r="BM264" s="69">
        <f t="shared" si="273"/>
        <v>0</v>
      </c>
      <c r="BN264" s="69">
        <f t="shared" si="273"/>
        <v>0</v>
      </c>
      <c r="BO264" s="69">
        <f t="shared" si="273"/>
        <v>0</v>
      </c>
      <c r="BP264" s="69">
        <f t="shared" si="273"/>
        <v>0</v>
      </c>
      <c r="BQ264" s="69">
        <f t="shared" si="273"/>
        <v>0</v>
      </c>
      <c r="BR264" s="69">
        <f t="shared" si="273"/>
        <v>0</v>
      </c>
      <c r="BS264" s="69">
        <f t="shared" si="273"/>
        <v>0</v>
      </c>
      <c r="BT264" s="69">
        <f t="shared" si="273"/>
        <v>0</v>
      </c>
      <c r="BU264" s="69">
        <f t="shared" si="273"/>
        <v>0</v>
      </c>
      <c r="BV264" s="69">
        <f t="shared" si="273"/>
        <v>0</v>
      </c>
      <c r="BW264" s="69">
        <f t="shared" si="273"/>
        <v>0</v>
      </c>
      <c r="BX264" s="69">
        <f t="shared" si="273"/>
        <v>0</v>
      </c>
      <c r="BY264" s="69">
        <f t="shared" si="273"/>
        <v>0</v>
      </c>
      <c r="BZ264" s="69">
        <f t="shared" si="273"/>
        <v>0</v>
      </c>
      <c r="CA264" s="69">
        <f t="shared" si="273"/>
        <v>0</v>
      </c>
      <c r="CB264" s="69">
        <f t="shared" si="273"/>
        <v>0</v>
      </c>
      <c r="CC264" s="69">
        <f t="shared" si="273"/>
        <v>0</v>
      </c>
      <c r="CD264" s="70">
        <f t="shared" si="219"/>
        <v>0</v>
      </c>
      <c r="CE264" s="70">
        <f t="shared" si="220"/>
        <v>0</v>
      </c>
      <c r="CF264" s="2"/>
      <c r="CG264" s="69">
        <f t="shared" ref="CG264:DD264" si="274">CG263+CG244</f>
        <v>0</v>
      </c>
      <c r="CH264" s="69">
        <f t="shared" si="274"/>
        <v>0</v>
      </c>
      <c r="CI264" s="69">
        <f t="shared" si="274"/>
        <v>0</v>
      </c>
      <c r="CJ264" s="69">
        <f t="shared" si="274"/>
        <v>0</v>
      </c>
      <c r="CK264" s="69">
        <f t="shared" si="274"/>
        <v>0</v>
      </c>
      <c r="CL264" s="69">
        <f t="shared" si="274"/>
        <v>0</v>
      </c>
      <c r="CM264" s="69">
        <f t="shared" si="274"/>
        <v>0</v>
      </c>
      <c r="CN264" s="69">
        <f t="shared" si="274"/>
        <v>0</v>
      </c>
      <c r="CO264" s="69">
        <f t="shared" si="274"/>
        <v>0</v>
      </c>
      <c r="CP264" s="69">
        <f t="shared" si="274"/>
        <v>0</v>
      </c>
      <c r="CQ264" s="69">
        <f t="shared" si="274"/>
        <v>0</v>
      </c>
      <c r="CR264" s="69">
        <f t="shared" si="274"/>
        <v>0</v>
      </c>
      <c r="CS264" s="69">
        <f t="shared" si="274"/>
        <v>0</v>
      </c>
      <c r="CT264" s="69">
        <f t="shared" si="274"/>
        <v>0</v>
      </c>
      <c r="CU264" s="69">
        <f t="shared" si="274"/>
        <v>0</v>
      </c>
      <c r="CV264" s="69">
        <f t="shared" si="274"/>
        <v>0</v>
      </c>
      <c r="CW264" s="69">
        <f t="shared" si="274"/>
        <v>0</v>
      </c>
      <c r="CX264" s="69">
        <f t="shared" si="274"/>
        <v>0</v>
      </c>
      <c r="CY264" s="69">
        <f t="shared" si="274"/>
        <v>0</v>
      </c>
      <c r="CZ264" s="69">
        <f t="shared" si="274"/>
        <v>0</v>
      </c>
      <c r="DA264" s="69">
        <f t="shared" si="274"/>
        <v>0</v>
      </c>
      <c r="DB264" s="69">
        <f t="shared" si="274"/>
        <v>0</v>
      </c>
      <c r="DC264" s="69">
        <f t="shared" si="274"/>
        <v>0</v>
      </c>
      <c r="DD264" s="69">
        <f t="shared" si="274"/>
        <v>0</v>
      </c>
      <c r="DE264" s="70">
        <f t="shared" si="222"/>
        <v>0</v>
      </c>
      <c r="DF264" s="70">
        <f t="shared" si="223"/>
        <v>0</v>
      </c>
      <c r="DG264"/>
      <c r="DH264"/>
    </row>
    <row r="265" spans="1:112" hidden="1" x14ac:dyDescent="0.2">
      <c r="A265" s="2"/>
      <c r="B265" s="35" t="s">
        <v>187</v>
      </c>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69">
        <f t="shared" ref="AE265:BB265" si="275">AE264</f>
        <v>0</v>
      </c>
      <c r="AF265" s="69">
        <f t="shared" si="275"/>
        <v>0</v>
      </c>
      <c r="AG265" s="69">
        <f t="shared" si="275"/>
        <v>0</v>
      </c>
      <c r="AH265" s="69">
        <f t="shared" si="275"/>
        <v>0</v>
      </c>
      <c r="AI265" s="69">
        <f t="shared" si="275"/>
        <v>0</v>
      </c>
      <c r="AJ265" s="69">
        <f t="shared" si="275"/>
        <v>0</v>
      </c>
      <c r="AK265" s="69">
        <f t="shared" si="275"/>
        <v>0</v>
      </c>
      <c r="AL265" s="69">
        <f t="shared" si="275"/>
        <v>0</v>
      </c>
      <c r="AM265" s="69">
        <f t="shared" si="275"/>
        <v>0</v>
      </c>
      <c r="AN265" s="69">
        <f t="shared" si="275"/>
        <v>0</v>
      </c>
      <c r="AO265" s="69">
        <f t="shared" si="275"/>
        <v>0</v>
      </c>
      <c r="AP265" s="69">
        <f t="shared" si="275"/>
        <v>0</v>
      </c>
      <c r="AQ265" s="69">
        <f t="shared" si="275"/>
        <v>0</v>
      </c>
      <c r="AR265" s="69">
        <f t="shared" si="275"/>
        <v>0</v>
      </c>
      <c r="AS265" s="69">
        <f t="shared" si="275"/>
        <v>0</v>
      </c>
      <c r="AT265" s="69">
        <f t="shared" si="275"/>
        <v>0</v>
      </c>
      <c r="AU265" s="69">
        <f t="shared" si="275"/>
        <v>0</v>
      </c>
      <c r="AV265" s="69">
        <f t="shared" si="275"/>
        <v>0</v>
      </c>
      <c r="AW265" s="69">
        <f t="shared" si="275"/>
        <v>0</v>
      </c>
      <c r="AX265" s="69">
        <f t="shared" si="275"/>
        <v>0</v>
      </c>
      <c r="AY265" s="69">
        <f t="shared" si="275"/>
        <v>0</v>
      </c>
      <c r="AZ265" s="69">
        <f t="shared" si="275"/>
        <v>0</v>
      </c>
      <c r="BA265" s="69">
        <f t="shared" si="275"/>
        <v>0</v>
      </c>
      <c r="BB265" s="69">
        <f t="shared" si="275"/>
        <v>0</v>
      </c>
      <c r="BC265" s="70">
        <f t="shared" si="216"/>
        <v>0</v>
      </c>
      <c r="BD265" s="70">
        <f t="shared" si="217"/>
        <v>0</v>
      </c>
      <c r="BE265" s="2"/>
      <c r="BF265" s="69">
        <f t="shared" ref="BF265:CC265" si="276">BF264</f>
        <v>0</v>
      </c>
      <c r="BG265" s="69">
        <f t="shared" si="276"/>
        <v>0</v>
      </c>
      <c r="BH265" s="69">
        <f t="shared" si="276"/>
        <v>0</v>
      </c>
      <c r="BI265" s="69">
        <f t="shared" si="276"/>
        <v>0</v>
      </c>
      <c r="BJ265" s="69">
        <f t="shared" si="276"/>
        <v>0</v>
      </c>
      <c r="BK265" s="69">
        <f t="shared" si="276"/>
        <v>0</v>
      </c>
      <c r="BL265" s="69">
        <f t="shared" si="276"/>
        <v>0</v>
      </c>
      <c r="BM265" s="69">
        <f t="shared" si="276"/>
        <v>0</v>
      </c>
      <c r="BN265" s="69">
        <f t="shared" si="276"/>
        <v>0</v>
      </c>
      <c r="BO265" s="69">
        <f t="shared" si="276"/>
        <v>0</v>
      </c>
      <c r="BP265" s="69">
        <f t="shared" si="276"/>
        <v>0</v>
      </c>
      <c r="BQ265" s="69">
        <f t="shared" si="276"/>
        <v>0</v>
      </c>
      <c r="BR265" s="69">
        <f t="shared" si="276"/>
        <v>0</v>
      </c>
      <c r="BS265" s="69">
        <f t="shared" si="276"/>
        <v>0</v>
      </c>
      <c r="BT265" s="69">
        <f t="shared" si="276"/>
        <v>0</v>
      </c>
      <c r="BU265" s="69">
        <f t="shared" si="276"/>
        <v>0</v>
      </c>
      <c r="BV265" s="69">
        <f t="shared" si="276"/>
        <v>0</v>
      </c>
      <c r="BW265" s="69">
        <f t="shared" si="276"/>
        <v>0</v>
      </c>
      <c r="BX265" s="69">
        <f t="shared" si="276"/>
        <v>0</v>
      </c>
      <c r="BY265" s="69">
        <f t="shared" si="276"/>
        <v>0</v>
      </c>
      <c r="BZ265" s="69">
        <f t="shared" si="276"/>
        <v>0</v>
      </c>
      <c r="CA265" s="69">
        <f t="shared" si="276"/>
        <v>0</v>
      </c>
      <c r="CB265" s="69">
        <f t="shared" si="276"/>
        <v>0</v>
      </c>
      <c r="CC265" s="69">
        <f t="shared" si="276"/>
        <v>0</v>
      </c>
      <c r="CD265" s="70">
        <f t="shared" si="219"/>
        <v>0</v>
      </c>
      <c r="CE265" s="70">
        <f t="shared" si="220"/>
        <v>0</v>
      </c>
      <c r="CF265" s="2"/>
      <c r="CG265" s="69">
        <f t="shared" ref="CG265:DD265" si="277">CG264</f>
        <v>0</v>
      </c>
      <c r="CH265" s="69">
        <f t="shared" si="277"/>
        <v>0</v>
      </c>
      <c r="CI265" s="69">
        <f t="shared" si="277"/>
        <v>0</v>
      </c>
      <c r="CJ265" s="69">
        <f t="shared" si="277"/>
        <v>0</v>
      </c>
      <c r="CK265" s="69">
        <f t="shared" si="277"/>
        <v>0</v>
      </c>
      <c r="CL265" s="69">
        <f t="shared" si="277"/>
        <v>0</v>
      </c>
      <c r="CM265" s="69">
        <f t="shared" si="277"/>
        <v>0</v>
      </c>
      <c r="CN265" s="69">
        <f t="shared" si="277"/>
        <v>0</v>
      </c>
      <c r="CO265" s="69">
        <f t="shared" si="277"/>
        <v>0</v>
      </c>
      <c r="CP265" s="69">
        <f t="shared" si="277"/>
        <v>0</v>
      </c>
      <c r="CQ265" s="69">
        <f t="shared" si="277"/>
        <v>0</v>
      </c>
      <c r="CR265" s="69">
        <f t="shared" si="277"/>
        <v>0</v>
      </c>
      <c r="CS265" s="69">
        <f t="shared" si="277"/>
        <v>0</v>
      </c>
      <c r="CT265" s="69">
        <f t="shared" si="277"/>
        <v>0</v>
      </c>
      <c r="CU265" s="69">
        <f t="shared" si="277"/>
        <v>0</v>
      </c>
      <c r="CV265" s="69">
        <f t="shared" si="277"/>
        <v>0</v>
      </c>
      <c r="CW265" s="69">
        <f t="shared" si="277"/>
        <v>0</v>
      </c>
      <c r="CX265" s="69">
        <f t="shared" si="277"/>
        <v>0</v>
      </c>
      <c r="CY265" s="69">
        <f t="shared" si="277"/>
        <v>0</v>
      </c>
      <c r="CZ265" s="69">
        <f t="shared" si="277"/>
        <v>0</v>
      </c>
      <c r="DA265" s="69">
        <f t="shared" si="277"/>
        <v>0</v>
      </c>
      <c r="DB265" s="69">
        <f t="shared" si="277"/>
        <v>0</v>
      </c>
      <c r="DC265" s="69">
        <f t="shared" si="277"/>
        <v>0</v>
      </c>
      <c r="DD265" s="69">
        <f t="shared" si="277"/>
        <v>0</v>
      </c>
      <c r="DE265" s="70">
        <f t="shared" si="222"/>
        <v>0</v>
      </c>
      <c r="DF265" s="70">
        <f t="shared" si="223"/>
        <v>0</v>
      </c>
      <c r="DG265"/>
      <c r="DH265"/>
    </row>
    <row r="266" spans="1:112" hidden="1" x14ac:dyDescent="0.2">
      <c r="A266" s="2"/>
      <c r="B266" s="35" t="s">
        <v>188</v>
      </c>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69">
        <f>inp_open_re</f>
        <v>0</v>
      </c>
      <c r="AF266" s="69">
        <f t="shared" ref="AF266:BB266" si="278">AE267</f>
        <v>0</v>
      </c>
      <c r="AG266" s="69">
        <f t="shared" si="278"/>
        <v>0</v>
      </c>
      <c r="AH266" s="69">
        <f t="shared" si="278"/>
        <v>0</v>
      </c>
      <c r="AI266" s="69">
        <f t="shared" si="278"/>
        <v>0</v>
      </c>
      <c r="AJ266" s="69">
        <f t="shared" si="278"/>
        <v>0</v>
      </c>
      <c r="AK266" s="69">
        <f t="shared" si="278"/>
        <v>0</v>
      </c>
      <c r="AL266" s="69">
        <f t="shared" si="278"/>
        <v>0</v>
      </c>
      <c r="AM266" s="69">
        <f t="shared" si="278"/>
        <v>0</v>
      </c>
      <c r="AN266" s="69">
        <f t="shared" si="278"/>
        <v>0</v>
      </c>
      <c r="AO266" s="69">
        <f t="shared" si="278"/>
        <v>0</v>
      </c>
      <c r="AP266" s="69">
        <f t="shared" si="278"/>
        <v>0</v>
      </c>
      <c r="AQ266" s="69">
        <f t="shared" si="278"/>
        <v>0</v>
      </c>
      <c r="AR266" s="69">
        <f t="shared" si="278"/>
        <v>0</v>
      </c>
      <c r="AS266" s="69">
        <f t="shared" si="278"/>
        <v>0</v>
      </c>
      <c r="AT266" s="69">
        <f t="shared" si="278"/>
        <v>0</v>
      </c>
      <c r="AU266" s="69">
        <f t="shared" si="278"/>
        <v>0</v>
      </c>
      <c r="AV266" s="69">
        <f t="shared" si="278"/>
        <v>0</v>
      </c>
      <c r="AW266" s="69">
        <f t="shared" si="278"/>
        <v>0</v>
      </c>
      <c r="AX266" s="69">
        <f t="shared" si="278"/>
        <v>0</v>
      </c>
      <c r="AY266" s="69">
        <f t="shared" si="278"/>
        <v>0</v>
      </c>
      <c r="AZ266" s="69">
        <f t="shared" si="278"/>
        <v>0</v>
      </c>
      <c r="BA266" s="69">
        <f t="shared" si="278"/>
        <v>0</v>
      </c>
      <c r="BB266" s="69">
        <f t="shared" si="278"/>
        <v>0</v>
      </c>
      <c r="BC266" s="70">
        <f t="shared" si="216"/>
        <v>0</v>
      </c>
      <c r="BD266" s="70">
        <f t="shared" si="217"/>
        <v>0</v>
      </c>
      <c r="BE266" s="2"/>
      <c r="BF266" s="69">
        <f>inp_open_re</f>
        <v>0</v>
      </c>
      <c r="BG266" s="69">
        <f t="shared" ref="BG266:CC266" si="279">BF267</f>
        <v>0</v>
      </c>
      <c r="BH266" s="69">
        <f t="shared" si="279"/>
        <v>0</v>
      </c>
      <c r="BI266" s="69">
        <f t="shared" si="279"/>
        <v>0</v>
      </c>
      <c r="BJ266" s="69">
        <f t="shared" si="279"/>
        <v>0</v>
      </c>
      <c r="BK266" s="69">
        <f t="shared" si="279"/>
        <v>0</v>
      </c>
      <c r="BL266" s="69">
        <f t="shared" si="279"/>
        <v>0</v>
      </c>
      <c r="BM266" s="69">
        <f t="shared" si="279"/>
        <v>0</v>
      </c>
      <c r="BN266" s="69">
        <f t="shared" si="279"/>
        <v>0</v>
      </c>
      <c r="BO266" s="69">
        <f t="shared" si="279"/>
        <v>0</v>
      </c>
      <c r="BP266" s="69">
        <f t="shared" si="279"/>
        <v>0</v>
      </c>
      <c r="BQ266" s="69">
        <f t="shared" si="279"/>
        <v>0</v>
      </c>
      <c r="BR266" s="69">
        <f t="shared" si="279"/>
        <v>0</v>
      </c>
      <c r="BS266" s="69">
        <f t="shared" si="279"/>
        <v>0</v>
      </c>
      <c r="BT266" s="69">
        <f t="shared" si="279"/>
        <v>0</v>
      </c>
      <c r="BU266" s="69">
        <f t="shared" si="279"/>
        <v>0</v>
      </c>
      <c r="BV266" s="69">
        <f t="shared" si="279"/>
        <v>0</v>
      </c>
      <c r="BW266" s="69">
        <f t="shared" si="279"/>
        <v>0</v>
      </c>
      <c r="BX266" s="69">
        <f t="shared" si="279"/>
        <v>0</v>
      </c>
      <c r="BY266" s="69">
        <f t="shared" si="279"/>
        <v>0</v>
      </c>
      <c r="BZ266" s="69">
        <f t="shared" si="279"/>
        <v>0</v>
      </c>
      <c r="CA266" s="69">
        <f t="shared" si="279"/>
        <v>0</v>
      </c>
      <c r="CB266" s="69">
        <f t="shared" si="279"/>
        <v>0</v>
      </c>
      <c r="CC266" s="69">
        <f t="shared" si="279"/>
        <v>0</v>
      </c>
      <c r="CD266" s="70">
        <f t="shared" si="219"/>
        <v>0</v>
      </c>
      <c r="CE266" s="70">
        <f t="shared" si="220"/>
        <v>0</v>
      </c>
      <c r="CF266" s="2"/>
      <c r="CG266" s="69">
        <f>inp_open_re</f>
        <v>0</v>
      </c>
      <c r="CH266" s="69">
        <f t="shared" ref="CH266:DD266" si="280">CG267</f>
        <v>0</v>
      </c>
      <c r="CI266" s="69">
        <f t="shared" si="280"/>
        <v>0</v>
      </c>
      <c r="CJ266" s="69">
        <f t="shared" si="280"/>
        <v>0</v>
      </c>
      <c r="CK266" s="69">
        <f t="shared" si="280"/>
        <v>0</v>
      </c>
      <c r="CL266" s="69">
        <f t="shared" si="280"/>
        <v>0</v>
      </c>
      <c r="CM266" s="69">
        <f t="shared" si="280"/>
        <v>0</v>
      </c>
      <c r="CN266" s="69">
        <f t="shared" si="280"/>
        <v>0</v>
      </c>
      <c r="CO266" s="69">
        <f t="shared" si="280"/>
        <v>0</v>
      </c>
      <c r="CP266" s="69">
        <f t="shared" si="280"/>
        <v>0</v>
      </c>
      <c r="CQ266" s="69">
        <f t="shared" si="280"/>
        <v>0</v>
      </c>
      <c r="CR266" s="69">
        <f t="shared" si="280"/>
        <v>0</v>
      </c>
      <c r="CS266" s="69">
        <f t="shared" si="280"/>
        <v>0</v>
      </c>
      <c r="CT266" s="69">
        <f t="shared" si="280"/>
        <v>0</v>
      </c>
      <c r="CU266" s="69">
        <f t="shared" si="280"/>
        <v>0</v>
      </c>
      <c r="CV266" s="69">
        <f t="shared" si="280"/>
        <v>0</v>
      </c>
      <c r="CW266" s="69">
        <f t="shared" si="280"/>
        <v>0</v>
      </c>
      <c r="CX266" s="69">
        <f t="shared" si="280"/>
        <v>0</v>
      </c>
      <c r="CY266" s="69">
        <f t="shared" si="280"/>
        <v>0</v>
      </c>
      <c r="CZ266" s="69">
        <f t="shared" si="280"/>
        <v>0</v>
      </c>
      <c r="DA266" s="69">
        <f t="shared" si="280"/>
        <v>0</v>
      </c>
      <c r="DB266" s="69">
        <f t="shared" si="280"/>
        <v>0</v>
      </c>
      <c r="DC266" s="69">
        <f t="shared" si="280"/>
        <v>0</v>
      </c>
      <c r="DD266" s="69">
        <f t="shared" si="280"/>
        <v>0</v>
      </c>
      <c r="DE266" s="70">
        <f t="shared" si="222"/>
        <v>0</v>
      </c>
      <c r="DF266" s="70">
        <f t="shared" si="223"/>
        <v>0</v>
      </c>
      <c r="DG266"/>
      <c r="DH266"/>
    </row>
    <row r="267" spans="1:112" hidden="1" x14ac:dyDescent="0.2">
      <c r="A267" s="2"/>
      <c r="B267" s="35" t="s">
        <v>189</v>
      </c>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69">
        <f t="shared" ref="AE267:BB267" si="281">AE266+AE219-AE243</f>
        <v>0</v>
      </c>
      <c r="AF267" s="69">
        <f t="shared" si="281"/>
        <v>0</v>
      </c>
      <c r="AG267" s="69">
        <f t="shared" si="281"/>
        <v>0</v>
      </c>
      <c r="AH267" s="69">
        <f t="shared" si="281"/>
        <v>0</v>
      </c>
      <c r="AI267" s="69">
        <f t="shared" si="281"/>
        <v>0</v>
      </c>
      <c r="AJ267" s="69">
        <f t="shared" si="281"/>
        <v>0</v>
      </c>
      <c r="AK267" s="69">
        <f t="shared" si="281"/>
        <v>0</v>
      </c>
      <c r="AL267" s="69">
        <f t="shared" si="281"/>
        <v>0</v>
      </c>
      <c r="AM267" s="69">
        <f t="shared" si="281"/>
        <v>0</v>
      </c>
      <c r="AN267" s="69">
        <f t="shared" si="281"/>
        <v>0</v>
      </c>
      <c r="AO267" s="69">
        <f t="shared" si="281"/>
        <v>0</v>
      </c>
      <c r="AP267" s="69">
        <f t="shared" si="281"/>
        <v>0</v>
      </c>
      <c r="AQ267" s="69">
        <f t="shared" si="281"/>
        <v>0</v>
      </c>
      <c r="AR267" s="69">
        <f t="shared" si="281"/>
        <v>0</v>
      </c>
      <c r="AS267" s="69">
        <f t="shared" si="281"/>
        <v>0</v>
      </c>
      <c r="AT267" s="69">
        <f t="shared" si="281"/>
        <v>0</v>
      </c>
      <c r="AU267" s="69">
        <f t="shared" si="281"/>
        <v>0</v>
      </c>
      <c r="AV267" s="69">
        <f t="shared" si="281"/>
        <v>0</v>
      </c>
      <c r="AW267" s="69">
        <f t="shared" si="281"/>
        <v>0</v>
      </c>
      <c r="AX267" s="69">
        <f t="shared" si="281"/>
        <v>0</v>
      </c>
      <c r="AY267" s="69">
        <f t="shared" si="281"/>
        <v>0</v>
      </c>
      <c r="AZ267" s="69">
        <f t="shared" si="281"/>
        <v>0</v>
      </c>
      <c r="BA267" s="69">
        <f t="shared" si="281"/>
        <v>0</v>
      </c>
      <c r="BB267" s="69">
        <f t="shared" si="281"/>
        <v>0</v>
      </c>
      <c r="BC267" s="70">
        <f t="shared" si="216"/>
        <v>0</v>
      </c>
      <c r="BD267" s="70">
        <f t="shared" si="217"/>
        <v>0</v>
      </c>
      <c r="BE267" s="2"/>
      <c r="BF267" s="69">
        <f t="shared" ref="BF267:CC267" si="282">BF266+BF219-BF243</f>
        <v>0</v>
      </c>
      <c r="BG267" s="69">
        <f t="shared" si="282"/>
        <v>0</v>
      </c>
      <c r="BH267" s="69">
        <f t="shared" si="282"/>
        <v>0</v>
      </c>
      <c r="BI267" s="69">
        <f t="shared" si="282"/>
        <v>0</v>
      </c>
      <c r="BJ267" s="69">
        <f t="shared" si="282"/>
        <v>0</v>
      </c>
      <c r="BK267" s="69">
        <f t="shared" si="282"/>
        <v>0</v>
      </c>
      <c r="BL267" s="69">
        <f t="shared" si="282"/>
        <v>0</v>
      </c>
      <c r="BM267" s="69">
        <f t="shared" si="282"/>
        <v>0</v>
      </c>
      <c r="BN267" s="69">
        <f t="shared" si="282"/>
        <v>0</v>
      </c>
      <c r="BO267" s="69">
        <f t="shared" si="282"/>
        <v>0</v>
      </c>
      <c r="BP267" s="69">
        <f t="shared" si="282"/>
        <v>0</v>
      </c>
      <c r="BQ267" s="69">
        <f t="shared" si="282"/>
        <v>0</v>
      </c>
      <c r="BR267" s="69">
        <f t="shared" si="282"/>
        <v>0</v>
      </c>
      <c r="BS267" s="69">
        <f t="shared" si="282"/>
        <v>0</v>
      </c>
      <c r="BT267" s="69">
        <f t="shared" si="282"/>
        <v>0</v>
      </c>
      <c r="BU267" s="69">
        <f t="shared" si="282"/>
        <v>0</v>
      </c>
      <c r="BV267" s="69">
        <f t="shared" si="282"/>
        <v>0</v>
      </c>
      <c r="BW267" s="69">
        <f t="shared" si="282"/>
        <v>0</v>
      </c>
      <c r="BX267" s="69">
        <f t="shared" si="282"/>
        <v>0</v>
      </c>
      <c r="BY267" s="69">
        <f t="shared" si="282"/>
        <v>0</v>
      </c>
      <c r="BZ267" s="69">
        <f t="shared" si="282"/>
        <v>0</v>
      </c>
      <c r="CA267" s="69">
        <f t="shared" si="282"/>
        <v>0</v>
      </c>
      <c r="CB267" s="69">
        <f t="shared" si="282"/>
        <v>0</v>
      </c>
      <c r="CC267" s="69">
        <f t="shared" si="282"/>
        <v>0</v>
      </c>
      <c r="CD267" s="70">
        <f t="shared" si="219"/>
        <v>0</v>
      </c>
      <c r="CE267" s="70">
        <f t="shared" si="220"/>
        <v>0</v>
      </c>
      <c r="CF267" s="2"/>
      <c r="CG267" s="69">
        <f t="shared" ref="CG267:DD267" si="283">CG266+CG219-CG243</f>
        <v>0</v>
      </c>
      <c r="CH267" s="69">
        <f t="shared" si="283"/>
        <v>0</v>
      </c>
      <c r="CI267" s="69">
        <f t="shared" si="283"/>
        <v>0</v>
      </c>
      <c r="CJ267" s="69">
        <f t="shared" si="283"/>
        <v>0</v>
      </c>
      <c r="CK267" s="69">
        <f t="shared" si="283"/>
        <v>0</v>
      </c>
      <c r="CL267" s="69">
        <f t="shared" si="283"/>
        <v>0</v>
      </c>
      <c r="CM267" s="69">
        <f t="shared" si="283"/>
        <v>0</v>
      </c>
      <c r="CN267" s="69">
        <f t="shared" si="283"/>
        <v>0</v>
      </c>
      <c r="CO267" s="69">
        <f t="shared" si="283"/>
        <v>0</v>
      </c>
      <c r="CP267" s="69">
        <f t="shared" si="283"/>
        <v>0</v>
      </c>
      <c r="CQ267" s="69">
        <f t="shared" si="283"/>
        <v>0</v>
      </c>
      <c r="CR267" s="69">
        <f t="shared" si="283"/>
        <v>0</v>
      </c>
      <c r="CS267" s="69">
        <f t="shared" si="283"/>
        <v>0</v>
      </c>
      <c r="CT267" s="69">
        <f t="shared" si="283"/>
        <v>0</v>
      </c>
      <c r="CU267" s="69">
        <f t="shared" si="283"/>
        <v>0</v>
      </c>
      <c r="CV267" s="69">
        <f t="shared" si="283"/>
        <v>0</v>
      </c>
      <c r="CW267" s="69">
        <f t="shared" si="283"/>
        <v>0</v>
      </c>
      <c r="CX267" s="69">
        <f t="shared" si="283"/>
        <v>0</v>
      </c>
      <c r="CY267" s="69">
        <f t="shared" si="283"/>
        <v>0</v>
      </c>
      <c r="CZ267" s="69">
        <f t="shared" si="283"/>
        <v>0</v>
      </c>
      <c r="DA267" s="69">
        <f t="shared" si="283"/>
        <v>0</v>
      </c>
      <c r="DB267" s="69">
        <f t="shared" si="283"/>
        <v>0</v>
      </c>
      <c r="DC267" s="69">
        <f t="shared" si="283"/>
        <v>0</v>
      </c>
      <c r="DD267" s="69">
        <f t="shared" si="283"/>
        <v>0</v>
      </c>
      <c r="DE267" s="70">
        <f t="shared" si="222"/>
        <v>0</v>
      </c>
      <c r="DF267" s="70">
        <f t="shared" si="223"/>
        <v>0</v>
      </c>
      <c r="DG267"/>
      <c r="DH267"/>
    </row>
    <row r="268" spans="1:112" hidden="1" x14ac:dyDescent="0.2">
      <c r="A268" s="2"/>
      <c r="B268" s="35" t="s">
        <v>190</v>
      </c>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69">
        <f t="shared" ref="AE268:BB268" si="284">AE267</f>
        <v>0</v>
      </c>
      <c r="AF268" s="69">
        <f t="shared" si="284"/>
        <v>0</v>
      </c>
      <c r="AG268" s="69">
        <f t="shared" si="284"/>
        <v>0</v>
      </c>
      <c r="AH268" s="69">
        <f t="shared" si="284"/>
        <v>0</v>
      </c>
      <c r="AI268" s="69">
        <f t="shared" si="284"/>
        <v>0</v>
      </c>
      <c r="AJ268" s="69">
        <f t="shared" si="284"/>
        <v>0</v>
      </c>
      <c r="AK268" s="69">
        <f t="shared" si="284"/>
        <v>0</v>
      </c>
      <c r="AL268" s="69">
        <f t="shared" si="284"/>
        <v>0</v>
      </c>
      <c r="AM268" s="69">
        <f t="shared" si="284"/>
        <v>0</v>
      </c>
      <c r="AN268" s="69">
        <f t="shared" si="284"/>
        <v>0</v>
      </c>
      <c r="AO268" s="69">
        <f t="shared" si="284"/>
        <v>0</v>
      </c>
      <c r="AP268" s="69">
        <f t="shared" si="284"/>
        <v>0</v>
      </c>
      <c r="AQ268" s="69">
        <f t="shared" si="284"/>
        <v>0</v>
      </c>
      <c r="AR268" s="69">
        <f t="shared" si="284"/>
        <v>0</v>
      </c>
      <c r="AS268" s="69">
        <f t="shared" si="284"/>
        <v>0</v>
      </c>
      <c r="AT268" s="69">
        <f t="shared" si="284"/>
        <v>0</v>
      </c>
      <c r="AU268" s="69">
        <f t="shared" si="284"/>
        <v>0</v>
      </c>
      <c r="AV268" s="69">
        <f t="shared" si="284"/>
        <v>0</v>
      </c>
      <c r="AW268" s="69">
        <f t="shared" si="284"/>
        <v>0</v>
      </c>
      <c r="AX268" s="69">
        <f t="shared" si="284"/>
        <v>0</v>
      </c>
      <c r="AY268" s="69">
        <f t="shared" si="284"/>
        <v>0</v>
      </c>
      <c r="AZ268" s="69">
        <f t="shared" si="284"/>
        <v>0</v>
      </c>
      <c r="BA268" s="69">
        <f t="shared" si="284"/>
        <v>0</v>
      </c>
      <c r="BB268" s="69">
        <f t="shared" si="284"/>
        <v>0</v>
      </c>
      <c r="BC268" s="70">
        <f t="shared" si="216"/>
        <v>0</v>
      </c>
      <c r="BD268" s="70">
        <f t="shared" si="217"/>
        <v>0</v>
      </c>
      <c r="BE268" s="2"/>
      <c r="BF268" s="69">
        <f t="shared" ref="BF268:CC268" si="285">BF267</f>
        <v>0</v>
      </c>
      <c r="BG268" s="69">
        <f t="shared" si="285"/>
        <v>0</v>
      </c>
      <c r="BH268" s="69">
        <f t="shared" si="285"/>
        <v>0</v>
      </c>
      <c r="BI268" s="69">
        <f t="shared" si="285"/>
        <v>0</v>
      </c>
      <c r="BJ268" s="69">
        <f t="shared" si="285"/>
        <v>0</v>
      </c>
      <c r="BK268" s="69">
        <f t="shared" si="285"/>
        <v>0</v>
      </c>
      <c r="BL268" s="69">
        <f t="shared" si="285"/>
        <v>0</v>
      </c>
      <c r="BM268" s="69">
        <f t="shared" si="285"/>
        <v>0</v>
      </c>
      <c r="BN268" s="69">
        <f t="shared" si="285"/>
        <v>0</v>
      </c>
      <c r="BO268" s="69">
        <f t="shared" si="285"/>
        <v>0</v>
      </c>
      <c r="BP268" s="69">
        <f t="shared" si="285"/>
        <v>0</v>
      </c>
      <c r="BQ268" s="69">
        <f t="shared" si="285"/>
        <v>0</v>
      </c>
      <c r="BR268" s="69">
        <f t="shared" si="285"/>
        <v>0</v>
      </c>
      <c r="BS268" s="69">
        <f t="shared" si="285"/>
        <v>0</v>
      </c>
      <c r="BT268" s="69">
        <f t="shared" si="285"/>
        <v>0</v>
      </c>
      <c r="BU268" s="69">
        <f t="shared" si="285"/>
        <v>0</v>
      </c>
      <c r="BV268" s="69">
        <f t="shared" si="285"/>
        <v>0</v>
      </c>
      <c r="BW268" s="69">
        <f t="shared" si="285"/>
        <v>0</v>
      </c>
      <c r="BX268" s="69">
        <f t="shared" si="285"/>
        <v>0</v>
      </c>
      <c r="BY268" s="69">
        <f t="shared" si="285"/>
        <v>0</v>
      </c>
      <c r="BZ268" s="69">
        <f t="shared" si="285"/>
        <v>0</v>
      </c>
      <c r="CA268" s="69">
        <f t="shared" si="285"/>
        <v>0</v>
      </c>
      <c r="CB268" s="69">
        <f t="shared" si="285"/>
        <v>0</v>
      </c>
      <c r="CC268" s="69">
        <f t="shared" si="285"/>
        <v>0</v>
      </c>
      <c r="CD268" s="70">
        <f t="shared" si="219"/>
        <v>0</v>
      </c>
      <c r="CE268" s="70">
        <f t="shared" si="220"/>
        <v>0</v>
      </c>
      <c r="CF268" s="2"/>
      <c r="CG268" s="69">
        <f t="shared" ref="CG268:DD268" si="286">CG267</f>
        <v>0</v>
      </c>
      <c r="CH268" s="69">
        <f t="shared" si="286"/>
        <v>0</v>
      </c>
      <c r="CI268" s="69">
        <f t="shared" si="286"/>
        <v>0</v>
      </c>
      <c r="CJ268" s="69">
        <f t="shared" si="286"/>
        <v>0</v>
      </c>
      <c r="CK268" s="69">
        <f t="shared" si="286"/>
        <v>0</v>
      </c>
      <c r="CL268" s="69">
        <f t="shared" si="286"/>
        <v>0</v>
      </c>
      <c r="CM268" s="69">
        <f t="shared" si="286"/>
        <v>0</v>
      </c>
      <c r="CN268" s="69">
        <f t="shared" si="286"/>
        <v>0</v>
      </c>
      <c r="CO268" s="69">
        <f t="shared" si="286"/>
        <v>0</v>
      </c>
      <c r="CP268" s="69">
        <f t="shared" si="286"/>
        <v>0</v>
      </c>
      <c r="CQ268" s="69">
        <f t="shared" si="286"/>
        <v>0</v>
      </c>
      <c r="CR268" s="69">
        <f t="shared" si="286"/>
        <v>0</v>
      </c>
      <c r="CS268" s="69">
        <f t="shared" si="286"/>
        <v>0</v>
      </c>
      <c r="CT268" s="69">
        <f t="shared" si="286"/>
        <v>0</v>
      </c>
      <c r="CU268" s="69">
        <f t="shared" si="286"/>
        <v>0</v>
      </c>
      <c r="CV268" s="69">
        <f t="shared" si="286"/>
        <v>0</v>
      </c>
      <c r="CW268" s="69">
        <f t="shared" si="286"/>
        <v>0</v>
      </c>
      <c r="CX268" s="69">
        <f t="shared" si="286"/>
        <v>0</v>
      </c>
      <c r="CY268" s="69">
        <f t="shared" si="286"/>
        <v>0</v>
      </c>
      <c r="CZ268" s="69">
        <f t="shared" si="286"/>
        <v>0</v>
      </c>
      <c r="DA268" s="69">
        <f t="shared" si="286"/>
        <v>0</v>
      </c>
      <c r="DB268" s="69">
        <f t="shared" si="286"/>
        <v>0</v>
      </c>
      <c r="DC268" s="69">
        <f t="shared" si="286"/>
        <v>0</v>
      </c>
      <c r="DD268" s="69">
        <f t="shared" si="286"/>
        <v>0</v>
      </c>
      <c r="DE268" s="70">
        <f t="shared" si="222"/>
        <v>0</v>
      </c>
      <c r="DF268" s="70">
        <f t="shared" si="223"/>
        <v>0</v>
      </c>
      <c r="DG268"/>
      <c r="DH268"/>
    </row>
    <row r="269" spans="1:112" hidden="1" x14ac:dyDescent="0.2">
      <c r="A269" s="2"/>
      <c r="B269" s="35" t="s">
        <v>191</v>
      </c>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70">
        <f t="shared" ref="AE269:BB269" si="287">AE265+AE268</f>
        <v>0</v>
      </c>
      <c r="AF269" s="70">
        <f t="shared" si="287"/>
        <v>0</v>
      </c>
      <c r="AG269" s="70">
        <f t="shared" si="287"/>
        <v>0</v>
      </c>
      <c r="AH269" s="70">
        <f t="shared" si="287"/>
        <v>0</v>
      </c>
      <c r="AI269" s="70">
        <f t="shared" si="287"/>
        <v>0</v>
      </c>
      <c r="AJ269" s="70">
        <f t="shared" si="287"/>
        <v>0</v>
      </c>
      <c r="AK269" s="70">
        <f t="shared" si="287"/>
        <v>0</v>
      </c>
      <c r="AL269" s="70">
        <f t="shared" si="287"/>
        <v>0</v>
      </c>
      <c r="AM269" s="70">
        <f t="shared" si="287"/>
        <v>0</v>
      </c>
      <c r="AN269" s="70">
        <f t="shared" si="287"/>
        <v>0</v>
      </c>
      <c r="AO269" s="70">
        <f t="shared" si="287"/>
        <v>0</v>
      </c>
      <c r="AP269" s="70">
        <f t="shared" si="287"/>
        <v>0</v>
      </c>
      <c r="AQ269" s="70">
        <f t="shared" si="287"/>
        <v>0</v>
      </c>
      <c r="AR269" s="70">
        <f t="shared" si="287"/>
        <v>0</v>
      </c>
      <c r="AS269" s="70">
        <f t="shared" si="287"/>
        <v>0</v>
      </c>
      <c r="AT269" s="70">
        <f t="shared" si="287"/>
        <v>0</v>
      </c>
      <c r="AU269" s="70">
        <f t="shared" si="287"/>
        <v>0</v>
      </c>
      <c r="AV269" s="70">
        <f t="shared" si="287"/>
        <v>0</v>
      </c>
      <c r="AW269" s="70">
        <f t="shared" si="287"/>
        <v>0</v>
      </c>
      <c r="AX269" s="70">
        <f t="shared" si="287"/>
        <v>0</v>
      </c>
      <c r="AY269" s="70">
        <f t="shared" si="287"/>
        <v>0</v>
      </c>
      <c r="AZ269" s="70">
        <f t="shared" si="287"/>
        <v>0</v>
      </c>
      <c r="BA269" s="70">
        <f t="shared" si="287"/>
        <v>0</v>
      </c>
      <c r="BB269" s="70">
        <f t="shared" si="287"/>
        <v>0</v>
      </c>
      <c r="BC269" s="70">
        <f t="shared" si="216"/>
        <v>0</v>
      </c>
      <c r="BD269" s="70">
        <f t="shared" si="217"/>
        <v>0</v>
      </c>
      <c r="BE269" s="2"/>
      <c r="BF269" s="70">
        <f t="shared" ref="BF269:CC269" si="288">BF265+BF268</f>
        <v>0</v>
      </c>
      <c r="BG269" s="70">
        <f t="shared" si="288"/>
        <v>0</v>
      </c>
      <c r="BH269" s="70">
        <f t="shared" si="288"/>
        <v>0</v>
      </c>
      <c r="BI269" s="70">
        <f t="shared" si="288"/>
        <v>0</v>
      </c>
      <c r="BJ269" s="70">
        <f t="shared" si="288"/>
        <v>0</v>
      </c>
      <c r="BK269" s="70">
        <f t="shared" si="288"/>
        <v>0</v>
      </c>
      <c r="BL269" s="70">
        <f t="shared" si="288"/>
        <v>0</v>
      </c>
      <c r="BM269" s="70">
        <f t="shared" si="288"/>
        <v>0</v>
      </c>
      <c r="BN269" s="70">
        <f t="shared" si="288"/>
        <v>0</v>
      </c>
      <c r="BO269" s="70">
        <f t="shared" si="288"/>
        <v>0</v>
      </c>
      <c r="BP269" s="70">
        <f t="shared" si="288"/>
        <v>0</v>
      </c>
      <c r="BQ269" s="70">
        <f t="shared" si="288"/>
        <v>0</v>
      </c>
      <c r="BR269" s="70">
        <f t="shared" si="288"/>
        <v>0</v>
      </c>
      <c r="BS269" s="70">
        <f t="shared" si="288"/>
        <v>0</v>
      </c>
      <c r="BT269" s="70">
        <f t="shared" si="288"/>
        <v>0</v>
      </c>
      <c r="BU269" s="70">
        <f t="shared" si="288"/>
        <v>0</v>
      </c>
      <c r="BV269" s="70">
        <f t="shared" si="288"/>
        <v>0</v>
      </c>
      <c r="BW269" s="70">
        <f t="shared" si="288"/>
        <v>0</v>
      </c>
      <c r="BX269" s="70">
        <f t="shared" si="288"/>
        <v>0</v>
      </c>
      <c r="BY269" s="70">
        <f t="shared" si="288"/>
        <v>0</v>
      </c>
      <c r="BZ269" s="70">
        <f t="shared" si="288"/>
        <v>0</v>
      </c>
      <c r="CA269" s="70">
        <f t="shared" si="288"/>
        <v>0</v>
      </c>
      <c r="CB269" s="70">
        <f t="shared" si="288"/>
        <v>0</v>
      </c>
      <c r="CC269" s="70">
        <f t="shared" si="288"/>
        <v>0</v>
      </c>
      <c r="CD269" s="70">
        <f t="shared" si="219"/>
        <v>0</v>
      </c>
      <c r="CE269" s="70">
        <f t="shared" si="220"/>
        <v>0</v>
      </c>
      <c r="CF269" s="2"/>
      <c r="CG269" s="70">
        <f t="shared" ref="CG269:DD269" si="289">CG265+CG268</f>
        <v>0</v>
      </c>
      <c r="CH269" s="70">
        <f t="shared" si="289"/>
        <v>0</v>
      </c>
      <c r="CI269" s="70">
        <f t="shared" si="289"/>
        <v>0</v>
      </c>
      <c r="CJ269" s="70">
        <f t="shared" si="289"/>
        <v>0</v>
      </c>
      <c r="CK269" s="70">
        <f t="shared" si="289"/>
        <v>0</v>
      </c>
      <c r="CL269" s="70">
        <f t="shared" si="289"/>
        <v>0</v>
      </c>
      <c r="CM269" s="70">
        <f t="shared" si="289"/>
        <v>0</v>
      </c>
      <c r="CN269" s="70">
        <f t="shared" si="289"/>
        <v>0</v>
      </c>
      <c r="CO269" s="70">
        <f t="shared" si="289"/>
        <v>0</v>
      </c>
      <c r="CP269" s="70">
        <f t="shared" si="289"/>
        <v>0</v>
      </c>
      <c r="CQ269" s="70">
        <f t="shared" si="289"/>
        <v>0</v>
      </c>
      <c r="CR269" s="70">
        <f t="shared" si="289"/>
        <v>0</v>
      </c>
      <c r="CS269" s="70">
        <f t="shared" si="289"/>
        <v>0</v>
      </c>
      <c r="CT269" s="70">
        <f t="shared" si="289"/>
        <v>0</v>
      </c>
      <c r="CU269" s="70">
        <f t="shared" si="289"/>
        <v>0</v>
      </c>
      <c r="CV269" s="70">
        <f t="shared" si="289"/>
        <v>0</v>
      </c>
      <c r="CW269" s="70">
        <f t="shared" si="289"/>
        <v>0</v>
      </c>
      <c r="CX269" s="70">
        <f t="shared" si="289"/>
        <v>0</v>
      </c>
      <c r="CY269" s="70">
        <f t="shared" si="289"/>
        <v>0</v>
      </c>
      <c r="CZ269" s="70">
        <f t="shared" si="289"/>
        <v>0</v>
      </c>
      <c r="DA269" s="70">
        <f t="shared" si="289"/>
        <v>0</v>
      </c>
      <c r="DB269" s="70">
        <f t="shared" si="289"/>
        <v>0</v>
      </c>
      <c r="DC269" s="70">
        <f t="shared" si="289"/>
        <v>0</v>
      </c>
      <c r="DD269" s="70">
        <f t="shared" si="289"/>
        <v>0</v>
      </c>
      <c r="DE269" s="70">
        <f t="shared" si="222"/>
        <v>0</v>
      </c>
      <c r="DF269" s="70">
        <f t="shared" si="223"/>
        <v>0</v>
      </c>
      <c r="DG269"/>
      <c r="DH269"/>
    </row>
    <row r="270" spans="1:112" hidden="1" x14ac:dyDescent="0.2">
      <c r="A270" s="2"/>
      <c r="B270" s="35" t="s">
        <v>192</v>
      </c>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70">
        <f t="shared" ref="AE270:BB270" si="290">AE262+AE269</f>
        <v>0</v>
      </c>
      <c r="AF270" s="70">
        <f t="shared" si="290"/>
        <v>0</v>
      </c>
      <c r="AG270" s="70">
        <f t="shared" si="290"/>
        <v>0</v>
      </c>
      <c r="AH270" s="70">
        <f t="shared" si="290"/>
        <v>0</v>
      </c>
      <c r="AI270" s="70">
        <f t="shared" si="290"/>
        <v>0</v>
      </c>
      <c r="AJ270" s="70">
        <f t="shared" si="290"/>
        <v>0</v>
      </c>
      <c r="AK270" s="70">
        <f t="shared" si="290"/>
        <v>0</v>
      </c>
      <c r="AL270" s="70">
        <f t="shared" si="290"/>
        <v>0</v>
      </c>
      <c r="AM270" s="70">
        <f t="shared" si="290"/>
        <v>0</v>
      </c>
      <c r="AN270" s="70">
        <f t="shared" si="290"/>
        <v>0</v>
      </c>
      <c r="AO270" s="70">
        <f t="shared" si="290"/>
        <v>0</v>
      </c>
      <c r="AP270" s="70">
        <f t="shared" si="290"/>
        <v>0</v>
      </c>
      <c r="AQ270" s="70">
        <f t="shared" si="290"/>
        <v>0</v>
      </c>
      <c r="AR270" s="70">
        <f t="shared" si="290"/>
        <v>0</v>
      </c>
      <c r="AS270" s="70">
        <f t="shared" si="290"/>
        <v>0</v>
      </c>
      <c r="AT270" s="70">
        <f t="shared" si="290"/>
        <v>0</v>
      </c>
      <c r="AU270" s="70">
        <f t="shared" si="290"/>
        <v>0</v>
      </c>
      <c r="AV270" s="70">
        <f t="shared" si="290"/>
        <v>0</v>
      </c>
      <c r="AW270" s="70">
        <f t="shared" si="290"/>
        <v>0</v>
      </c>
      <c r="AX270" s="70">
        <f t="shared" si="290"/>
        <v>0</v>
      </c>
      <c r="AY270" s="70">
        <f t="shared" si="290"/>
        <v>0</v>
      </c>
      <c r="AZ270" s="70">
        <f t="shared" si="290"/>
        <v>0</v>
      </c>
      <c r="BA270" s="70">
        <f t="shared" si="290"/>
        <v>0</v>
      </c>
      <c r="BB270" s="70">
        <f t="shared" si="290"/>
        <v>0</v>
      </c>
      <c r="BC270" s="70">
        <f t="shared" si="216"/>
        <v>0</v>
      </c>
      <c r="BD270" s="70">
        <f t="shared" si="217"/>
        <v>0</v>
      </c>
      <c r="BE270" s="2"/>
      <c r="BF270" s="70">
        <f t="shared" ref="BF270:CC270" si="291">BF262+BF269</f>
        <v>0</v>
      </c>
      <c r="BG270" s="70">
        <f t="shared" si="291"/>
        <v>0</v>
      </c>
      <c r="BH270" s="70">
        <f t="shared" si="291"/>
        <v>0</v>
      </c>
      <c r="BI270" s="70">
        <f t="shared" si="291"/>
        <v>0</v>
      </c>
      <c r="BJ270" s="70">
        <f t="shared" si="291"/>
        <v>0</v>
      </c>
      <c r="BK270" s="70">
        <f t="shared" si="291"/>
        <v>0</v>
      </c>
      <c r="BL270" s="70">
        <f t="shared" si="291"/>
        <v>0</v>
      </c>
      <c r="BM270" s="70">
        <f t="shared" si="291"/>
        <v>0</v>
      </c>
      <c r="BN270" s="70">
        <f t="shared" si="291"/>
        <v>0</v>
      </c>
      <c r="BO270" s="70">
        <f t="shared" si="291"/>
        <v>0</v>
      </c>
      <c r="BP270" s="70">
        <f t="shared" si="291"/>
        <v>0</v>
      </c>
      <c r="BQ270" s="70">
        <f t="shared" si="291"/>
        <v>0</v>
      </c>
      <c r="BR270" s="70">
        <f t="shared" si="291"/>
        <v>0</v>
      </c>
      <c r="BS270" s="70">
        <f t="shared" si="291"/>
        <v>0</v>
      </c>
      <c r="BT270" s="70">
        <f t="shared" si="291"/>
        <v>0</v>
      </c>
      <c r="BU270" s="70">
        <f t="shared" si="291"/>
        <v>0</v>
      </c>
      <c r="BV270" s="70">
        <f t="shared" si="291"/>
        <v>0</v>
      </c>
      <c r="BW270" s="70">
        <f t="shared" si="291"/>
        <v>0</v>
      </c>
      <c r="BX270" s="70">
        <f t="shared" si="291"/>
        <v>0</v>
      </c>
      <c r="BY270" s="70">
        <f t="shared" si="291"/>
        <v>0</v>
      </c>
      <c r="BZ270" s="70">
        <f t="shared" si="291"/>
        <v>0</v>
      </c>
      <c r="CA270" s="70">
        <f t="shared" si="291"/>
        <v>0</v>
      </c>
      <c r="CB270" s="70">
        <f t="shared" si="291"/>
        <v>0</v>
      </c>
      <c r="CC270" s="70">
        <f t="shared" si="291"/>
        <v>0</v>
      </c>
      <c r="CD270" s="70">
        <f t="shared" si="219"/>
        <v>0</v>
      </c>
      <c r="CE270" s="70">
        <f t="shared" si="220"/>
        <v>0</v>
      </c>
      <c r="CF270" s="2"/>
      <c r="CG270" s="70">
        <f t="shared" ref="CG270:DD270" si="292">CG262+CG269</f>
        <v>0</v>
      </c>
      <c r="CH270" s="70">
        <f t="shared" si="292"/>
        <v>0</v>
      </c>
      <c r="CI270" s="70">
        <f t="shared" si="292"/>
        <v>0</v>
      </c>
      <c r="CJ270" s="70">
        <f t="shared" si="292"/>
        <v>0</v>
      </c>
      <c r="CK270" s="70">
        <f t="shared" si="292"/>
        <v>0</v>
      </c>
      <c r="CL270" s="70">
        <f t="shared" si="292"/>
        <v>0</v>
      </c>
      <c r="CM270" s="70">
        <f t="shared" si="292"/>
        <v>0</v>
      </c>
      <c r="CN270" s="70">
        <f t="shared" si="292"/>
        <v>0</v>
      </c>
      <c r="CO270" s="70">
        <f t="shared" si="292"/>
        <v>0</v>
      </c>
      <c r="CP270" s="70">
        <f t="shared" si="292"/>
        <v>0</v>
      </c>
      <c r="CQ270" s="70">
        <f t="shared" si="292"/>
        <v>0</v>
      </c>
      <c r="CR270" s="70">
        <f t="shared" si="292"/>
        <v>0</v>
      </c>
      <c r="CS270" s="70">
        <f t="shared" si="292"/>
        <v>0</v>
      </c>
      <c r="CT270" s="70">
        <f t="shared" si="292"/>
        <v>0</v>
      </c>
      <c r="CU270" s="70">
        <f t="shared" si="292"/>
        <v>0</v>
      </c>
      <c r="CV270" s="70">
        <f t="shared" si="292"/>
        <v>0</v>
      </c>
      <c r="CW270" s="70">
        <f t="shared" si="292"/>
        <v>0</v>
      </c>
      <c r="CX270" s="70">
        <f t="shared" si="292"/>
        <v>0</v>
      </c>
      <c r="CY270" s="70">
        <f t="shared" si="292"/>
        <v>0</v>
      </c>
      <c r="CZ270" s="70">
        <f t="shared" si="292"/>
        <v>0</v>
      </c>
      <c r="DA270" s="70">
        <f t="shared" si="292"/>
        <v>0</v>
      </c>
      <c r="DB270" s="70">
        <f t="shared" si="292"/>
        <v>0</v>
      </c>
      <c r="DC270" s="70">
        <f t="shared" si="292"/>
        <v>0</v>
      </c>
      <c r="DD270" s="70">
        <f t="shared" si="292"/>
        <v>0</v>
      </c>
      <c r="DE270" s="70">
        <f t="shared" si="222"/>
        <v>0</v>
      </c>
      <c r="DF270" s="70">
        <f t="shared" si="223"/>
        <v>0</v>
      </c>
      <c r="DG270"/>
      <c r="DH270"/>
    </row>
    <row r="271" spans="1:112" hidden="1" x14ac:dyDescent="0.2">
      <c r="A271" s="2"/>
      <c r="B271" s="35" t="s">
        <v>193</v>
      </c>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78">
        <f t="shared" ref="AE271:BB271" si="293">ROUND(AE256-AE270,2)</f>
        <v>0</v>
      </c>
      <c r="AF271" s="78">
        <f t="shared" si="293"/>
        <v>0</v>
      </c>
      <c r="AG271" s="78">
        <f t="shared" si="293"/>
        <v>0</v>
      </c>
      <c r="AH271" s="78">
        <f t="shared" si="293"/>
        <v>0</v>
      </c>
      <c r="AI271" s="78">
        <f t="shared" si="293"/>
        <v>0</v>
      </c>
      <c r="AJ271" s="78">
        <f t="shared" si="293"/>
        <v>0</v>
      </c>
      <c r="AK271" s="78">
        <f t="shared" si="293"/>
        <v>0</v>
      </c>
      <c r="AL271" s="78">
        <f t="shared" si="293"/>
        <v>0</v>
      </c>
      <c r="AM271" s="78">
        <f t="shared" si="293"/>
        <v>0</v>
      </c>
      <c r="AN271" s="78">
        <f t="shared" si="293"/>
        <v>0</v>
      </c>
      <c r="AO271" s="78">
        <f t="shared" si="293"/>
        <v>0</v>
      </c>
      <c r="AP271" s="78">
        <f t="shared" si="293"/>
        <v>0</v>
      </c>
      <c r="AQ271" s="78">
        <f t="shared" si="293"/>
        <v>0</v>
      </c>
      <c r="AR271" s="78">
        <f t="shared" si="293"/>
        <v>0</v>
      </c>
      <c r="AS271" s="78">
        <f t="shared" si="293"/>
        <v>0</v>
      </c>
      <c r="AT271" s="78">
        <f t="shared" si="293"/>
        <v>0</v>
      </c>
      <c r="AU271" s="78">
        <f t="shared" si="293"/>
        <v>0</v>
      </c>
      <c r="AV271" s="78">
        <f t="shared" si="293"/>
        <v>0</v>
      </c>
      <c r="AW271" s="78">
        <f t="shared" si="293"/>
        <v>0</v>
      </c>
      <c r="AX271" s="78">
        <f t="shared" si="293"/>
        <v>0</v>
      </c>
      <c r="AY271" s="78">
        <f t="shared" si="293"/>
        <v>0</v>
      </c>
      <c r="AZ271" s="78">
        <f t="shared" si="293"/>
        <v>0</v>
      </c>
      <c r="BA271" s="78">
        <f t="shared" si="293"/>
        <v>0</v>
      </c>
      <c r="BB271" s="78">
        <f t="shared" si="293"/>
        <v>0</v>
      </c>
      <c r="BC271" s="85">
        <f t="shared" ref="BC271:BC278" si="294">ROUND(SUMPRODUCT(ABS(AE271:AP271)),2)</f>
        <v>0</v>
      </c>
      <c r="BD271" s="85">
        <f t="shared" ref="BD271:BD278" si="295">ROUND(SUMPRODUCT(ABS(AQ271:BB271)),2)</f>
        <v>0</v>
      </c>
      <c r="BE271" s="2"/>
      <c r="BF271" s="78">
        <f t="shared" ref="BF271:CC271" si="296">ROUND(BF256-BF270,2)</f>
        <v>0</v>
      </c>
      <c r="BG271" s="78">
        <f t="shared" si="296"/>
        <v>0</v>
      </c>
      <c r="BH271" s="78">
        <f t="shared" si="296"/>
        <v>0</v>
      </c>
      <c r="BI271" s="78">
        <f t="shared" si="296"/>
        <v>0</v>
      </c>
      <c r="BJ271" s="78">
        <f t="shared" si="296"/>
        <v>0</v>
      </c>
      <c r="BK271" s="78">
        <f t="shared" si="296"/>
        <v>0</v>
      </c>
      <c r="BL271" s="78">
        <f t="shared" si="296"/>
        <v>0</v>
      </c>
      <c r="BM271" s="78">
        <f t="shared" si="296"/>
        <v>0</v>
      </c>
      <c r="BN271" s="78">
        <f t="shared" si="296"/>
        <v>0</v>
      </c>
      <c r="BO271" s="78">
        <f t="shared" si="296"/>
        <v>0</v>
      </c>
      <c r="BP271" s="78">
        <f t="shared" si="296"/>
        <v>0</v>
      </c>
      <c r="BQ271" s="78">
        <f t="shared" si="296"/>
        <v>0</v>
      </c>
      <c r="BR271" s="78">
        <f t="shared" si="296"/>
        <v>0</v>
      </c>
      <c r="BS271" s="78">
        <f t="shared" si="296"/>
        <v>0</v>
      </c>
      <c r="BT271" s="78">
        <f t="shared" si="296"/>
        <v>0</v>
      </c>
      <c r="BU271" s="78">
        <f t="shared" si="296"/>
        <v>0</v>
      </c>
      <c r="BV271" s="78">
        <f t="shared" si="296"/>
        <v>0</v>
      </c>
      <c r="BW271" s="78">
        <f t="shared" si="296"/>
        <v>0</v>
      </c>
      <c r="BX271" s="78">
        <f t="shared" si="296"/>
        <v>0</v>
      </c>
      <c r="BY271" s="78">
        <f t="shared" si="296"/>
        <v>0</v>
      </c>
      <c r="BZ271" s="78">
        <f t="shared" si="296"/>
        <v>0</v>
      </c>
      <c r="CA271" s="78">
        <f t="shared" si="296"/>
        <v>0</v>
      </c>
      <c r="CB271" s="78">
        <f t="shared" si="296"/>
        <v>0</v>
      </c>
      <c r="CC271" s="78">
        <f t="shared" si="296"/>
        <v>0</v>
      </c>
      <c r="CD271" s="85">
        <f t="shared" ref="CD271:CD278" si="297">ROUND(SUMPRODUCT(ABS(BF271:BQ271)),2)</f>
        <v>0</v>
      </c>
      <c r="CE271" s="85">
        <f t="shared" ref="CE271:CE278" si="298">ROUND(SUMPRODUCT(ABS(BR271:CC271)),2)</f>
        <v>0</v>
      </c>
      <c r="CF271" s="2"/>
      <c r="CG271" s="78">
        <f t="shared" ref="CG271:DD271" si="299">ROUND(CG256-CG270,2)</f>
        <v>0</v>
      </c>
      <c r="CH271" s="78">
        <f t="shared" si="299"/>
        <v>0</v>
      </c>
      <c r="CI271" s="78">
        <f t="shared" si="299"/>
        <v>0</v>
      </c>
      <c r="CJ271" s="78">
        <f t="shared" si="299"/>
        <v>0</v>
      </c>
      <c r="CK271" s="78">
        <f t="shared" si="299"/>
        <v>0</v>
      </c>
      <c r="CL271" s="78">
        <f t="shared" si="299"/>
        <v>0</v>
      </c>
      <c r="CM271" s="78">
        <f t="shared" si="299"/>
        <v>0</v>
      </c>
      <c r="CN271" s="78">
        <f t="shared" si="299"/>
        <v>0</v>
      </c>
      <c r="CO271" s="78">
        <f t="shared" si="299"/>
        <v>0</v>
      </c>
      <c r="CP271" s="78">
        <f t="shared" si="299"/>
        <v>0</v>
      </c>
      <c r="CQ271" s="78">
        <f t="shared" si="299"/>
        <v>0</v>
      </c>
      <c r="CR271" s="78">
        <f t="shared" si="299"/>
        <v>0</v>
      </c>
      <c r="CS271" s="78">
        <f t="shared" si="299"/>
        <v>0</v>
      </c>
      <c r="CT271" s="78">
        <f t="shared" si="299"/>
        <v>0</v>
      </c>
      <c r="CU271" s="78">
        <f t="shared" si="299"/>
        <v>0</v>
      </c>
      <c r="CV271" s="78">
        <f t="shared" si="299"/>
        <v>0</v>
      </c>
      <c r="CW271" s="78">
        <f t="shared" si="299"/>
        <v>0</v>
      </c>
      <c r="CX271" s="78">
        <f t="shared" si="299"/>
        <v>0</v>
      </c>
      <c r="CY271" s="78">
        <f t="shared" si="299"/>
        <v>0</v>
      </c>
      <c r="CZ271" s="78">
        <f t="shared" si="299"/>
        <v>0</v>
      </c>
      <c r="DA271" s="78">
        <f t="shared" si="299"/>
        <v>0</v>
      </c>
      <c r="DB271" s="78">
        <f t="shared" si="299"/>
        <v>0</v>
      </c>
      <c r="DC271" s="78">
        <f t="shared" si="299"/>
        <v>0</v>
      </c>
      <c r="DD271" s="78">
        <f t="shared" si="299"/>
        <v>0</v>
      </c>
      <c r="DE271" s="85">
        <f t="shared" ref="DE271:DE278" si="300">ROUND(SUMPRODUCT(ABS(CG271:CR271)),2)</f>
        <v>0</v>
      </c>
      <c r="DF271" s="85">
        <f t="shared" ref="DF271:DF278" si="301">ROUND(SUMPRODUCT(ABS(CS271:DD271)),2)</f>
        <v>0</v>
      </c>
      <c r="DG271"/>
      <c r="DH271"/>
    </row>
    <row r="272" spans="1:112" hidden="1" x14ac:dyDescent="0.2">
      <c r="A272" s="2"/>
      <c r="B272" s="35" t="s">
        <v>194</v>
      </c>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78">
        <f t="shared" ref="AE272:BB272" si="302">ROUND(AE249-AE248,2)</f>
        <v>0</v>
      </c>
      <c r="AF272" s="78">
        <f t="shared" si="302"/>
        <v>0</v>
      </c>
      <c r="AG272" s="78">
        <f t="shared" si="302"/>
        <v>0</v>
      </c>
      <c r="AH272" s="78">
        <f t="shared" si="302"/>
        <v>0</v>
      </c>
      <c r="AI272" s="78">
        <f t="shared" si="302"/>
        <v>0</v>
      </c>
      <c r="AJ272" s="78">
        <f t="shared" si="302"/>
        <v>0</v>
      </c>
      <c r="AK272" s="78">
        <f t="shared" si="302"/>
        <v>0</v>
      </c>
      <c r="AL272" s="78">
        <f t="shared" si="302"/>
        <v>0</v>
      </c>
      <c r="AM272" s="78">
        <f t="shared" si="302"/>
        <v>0</v>
      </c>
      <c r="AN272" s="78">
        <f t="shared" si="302"/>
        <v>0</v>
      </c>
      <c r="AO272" s="78">
        <f t="shared" si="302"/>
        <v>0</v>
      </c>
      <c r="AP272" s="78">
        <f t="shared" si="302"/>
        <v>0</v>
      </c>
      <c r="AQ272" s="78">
        <f t="shared" si="302"/>
        <v>0</v>
      </c>
      <c r="AR272" s="78">
        <f t="shared" si="302"/>
        <v>0</v>
      </c>
      <c r="AS272" s="78">
        <f t="shared" si="302"/>
        <v>0</v>
      </c>
      <c r="AT272" s="78">
        <f t="shared" si="302"/>
        <v>0</v>
      </c>
      <c r="AU272" s="78">
        <f t="shared" si="302"/>
        <v>0</v>
      </c>
      <c r="AV272" s="78">
        <f t="shared" si="302"/>
        <v>0</v>
      </c>
      <c r="AW272" s="78">
        <f t="shared" si="302"/>
        <v>0</v>
      </c>
      <c r="AX272" s="78">
        <f t="shared" si="302"/>
        <v>0</v>
      </c>
      <c r="AY272" s="78">
        <f t="shared" si="302"/>
        <v>0</v>
      </c>
      <c r="AZ272" s="78">
        <f t="shared" si="302"/>
        <v>0</v>
      </c>
      <c r="BA272" s="78">
        <f t="shared" si="302"/>
        <v>0</v>
      </c>
      <c r="BB272" s="78">
        <f t="shared" si="302"/>
        <v>0</v>
      </c>
      <c r="BC272" s="85">
        <f t="shared" si="294"/>
        <v>0</v>
      </c>
      <c r="BD272" s="85">
        <f t="shared" si="295"/>
        <v>0</v>
      </c>
      <c r="BE272" s="2"/>
      <c r="BF272" s="78">
        <f t="shared" ref="BF272:CC272" si="303">ROUND(BF249-BF248,2)</f>
        <v>0</v>
      </c>
      <c r="BG272" s="78">
        <f t="shared" si="303"/>
        <v>0</v>
      </c>
      <c r="BH272" s="78">
        <f t="shared" si="303"/>
        <v>0</v>
      </c>
      <c r="BI272" s="78">
        <f t="shared" si="303"/>
        <v>0</v>
      </c>
      <c r="BJ272" s="78">
        <f t="shared" si="303"/>
        <v>0</v>
      </c>
      <c r="BK272" s="78">
        <f t="shared" si="303"/>
        <v>0</v>
      </c>
      <c r="BL272" s="78">
        <f t="shared" si="303"/>
        <v>0</v>
      </c>
      <c r="BM272" s="78">
        <f t="shared" si="303"/>
        <v>0</v>
      </c>
      <c r="BN272" s="78">
        <f t="shared" si="303"/>
        <v>0</v>
      </c>
      <c r="BO272" s="78">
        <f t="shared" si="303"/>
        <v>0</v>
      </c>
      <c r="BP272" s="78">
        <f t="shared" si="303"/>
        <v>0</v>
      </c>
      <c r="BQ272" s="78">
        <f t="shared" si="303"/>
        <v>0</v>
      </c>
      <c r="BR272" s="78">
        <f t="shared" si="303"/>
        <v>0</v>
      </c>
      <c r="BS272" s="78">
        <f t="shared" si="303"/>
        <v>0</v>
      </c>
      <c r="BT272" s="78">
        <f t="shared" si="303"/>
        <v>0</v>
      </c>
      <c r="BU272" s="78">
        <f t="shared" si="303"/>
        <v>0</v>
      </c>
      <c r="BV272" s="78">
        <f t="shared" si="303"/>
        <v>0</v>
      </c>
      <c r="BW272" s="78">
        <f t="shared" si="303"/>
        <v>0</v>
      </c>
      <c r="BX272" s="78">
        <f t="shared" si="303"/>
        <v>0</v>
      </c>
      <c r="BY272" s="78">
        <f t="shared" si="303"/>
        <v>0</v>
      </c>
      <c r="BZ272" s="78">
        <f t="shared" si="303"/>
        <v>0</v>
      </c>
      <c r="CA272" s="78">
        <f t="shared" si="303"/>
        <v>0</v>
      </c>
      <c r="CB272" s="78">
        <f t="shared" si="303"/>
        <v>0</v>
      </c>
      <c r="CC272" s="78">
        <f t="shared" si="303"/>
        <v>0</v>
      </c>
      <c r="CD272" s="85">
        <f t="shared" si="297"/>
        <v>0</v>
      </c>
      <c r="CE272" s="85">
        <f t="shared" si="298"/>
        <v>0</v>
      </c>
      <c r="CF272" s="2"/>
      <c r="CG272" s="78">
        <f t="shared" ref="CG272:DD272" si="304">ROUND(CG249-CG248,2)</f>
        <v>0</v>
      </c>
      <c r="CH272" s="78">
        <f t="shared" si="304"/>
        <v>0</v>
      </c>
      <c r="CI272" s="78">
        <f t="shared" si="304"/>
        <v>0</v>
      </c>
      <c r="CJ272" s="78">
        <f t="shared" si="304"/>
        <v>0</v>
      </c>
      <c r="CK272" s="78">
        <f t="shared" si="304"/>
        <v>0</v>
      </c>
      <c r="CL272" s="78">
        <f t="shared" si="304"/>
        <v>0</v>
      </c>
      <c r="CM272" s="78">
        <f t="shared" si="304"/>
        <v>0</v>
      </c>
      <c r="CN272" s="78">
        <f t="shared" si="304"/>
        <v>0</v>
      </c>
      <c r="CO272" s="78">
        <f t="shared" si="304"/>
        <v>0</v>
      </c>
      <c r="CP272" s="78">
        <f t="shared" si="304"/>
        <v>0</v>
      </c>
      <c r="CQ272" s="78">
        <f t="shared" si="304"/>
        <v>0</v>
      </c>
      <c r="CR272" s="78">
        <f t="shared" si="304"/>
        <v>0</v>
      </c>
      <c r="CS272" s="78">
        <f t="shared" si="304"/>
        <v>0</v>
      </c>
      <c r="CT272" s="78">
        <f t="shared" si="304"/>
        <v>0</v>
      </c>
      <c r="CU272" s="78">
        <f t="shared" si="304"/>
        <v>0</v>
      </c>
      <c r="CV272" s="78">
        <f t="shared" si="304"/>
        <v>0</v>
      </c>
      <c r="CW272" s="78">
        <f t="shared" si="304"/>
        <v>0</v>
      </c>
      <c r="CX272" s="78">
        <f t="shared" si="304"/>
        <v>0</v>
      </c>
      <c r="CY272" s="78">
        <f t="shared" si="304"/>
        <v>0</v>
      </c>
      <c r="CZ272" s="78">
        <f t="shared" si="304"/>
        <v>0</v>
      </c>
      <c r="DA272" s="78">
        <f t="shared" si="304"/>
        <v>0</v>
      </c>
      <c r="DB272" s="78">
        <f t="shared" si="304"/>
        <v>0</v>
      </c>
      <c r="DC272" s="78">
        <f t="shared" si="304"/>
        <v>0</v>
      </c>
      <c r="DD272" s="78">
        <f t="shared" si="304"/>
        <v>0</v>
      </c>
      <c r="DE272" s="85">
        <f t="shared" si="300"/>
        <v>0</v>
      </c>
      <c r="DF272" s="85">
        <f t="shared" si="301"/>
        <v>0</v>
      </c>
      <c r="DG272"/>
      <c r="DH272"/>
    </row>
    <row r="273" spans="1:112" hidden="1" x14ac:dyDescent="0.2">
      <c r="A273" s="2"/>
      <c r="B273" s="35" t="s">
        <v>195</v>
      </c>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78">
        <f t="shared" ref="AE273:BB273" si="305">ROUND(AE267-(AE266+AE219-AE243),2)</f>
        <v>0</v>
      </c>
      <c r="AF273" s="78">
        <f t="shared" si="305"/>
        <v>0</v>
      </c>
      <c r="AG273" s="78">
        <f t="shared" si="305"/>
        <v>0</v>
      </c>
      <c r="AH273" s="78">
        <f t="shared" si="305"/>
        <v>0</v>
      </c>
      <c r="AI273" s="78">
        <f t="shared" si="305"/>
        <v>0</v>
      </c>
      <c r="AJ273" s="78">
        <f t="shared" si="305"/>
        <v>0</v>
      </c>
      <c r="AK273" s="78">
        <f t="shared" si="305"/>
        <v>0</v>
      </c>
      <c r="AL273" s="78">
        <f t="shared" si="305"/>
        <v>0</v>
      </c>
      <c r="AM273" s="78">
        <f t="shared" si="305"/>
        <v>0</v>
      </c>
      <c r="AN273" s="78">
        <f t="shared" si="305"/>
        <v>0</v>
      </c>
      <c r="AO273" s="78">
        <f t="shared" si="305"/>
        <v>0</v>
      </c>
      <c r="AP273" s="78">
        <f t="shared" si="305"/>
        <v>0</v>
      </c>
      <c r="AQ273" s="78">
        <f t="shared" si="305"/>
        <v>0</v>
      </c>
      <c r="AR273" s="78">
        <f t="shared" si="305"/>
        <v>0</v>
      </c>
      <c r="AS273" s="78">
        <f t="shared" si="305"/>
        <v>0</v>
      </c>
      <c r="AT273" s="78">
        <f t="shared" si="305"/>
        <v>0</v>
      </c>
      <c r="AU273" s="78">
        <f t="shared" si="305"/>
        <v>0</v>
      </c>
      <c r="AV273" s="78">
        <f t="shared" si="305"/>
        <v>0</v>
      </c>
      <c r="AW273" s="78">
        <f t="shared" si="305"/>
        <v>0</v>
      </c>
      <c r="AX273" s="78">
        <f t="shared" si="305"/>
        <v>0</v>
      </c>
      <c r="AY273" s="78">
        <f t="shared" si="305"/>
        <v>0</v>
      </c>
      <c r="AZ273" s="78">
        <f t="shared" si="305"/>
        <v>0</v>
      </c>
      <c r="BA273" s="78">
        <f t="shared" si="305"/>
        <v>0</v>
      </c>
      <c r="BB273" s="78">
        <f t="shared" si="305"/>
        <v>0</v>
      </c>
      <c r="BC273" s="85">
        <f t="shared" si="294"/>
        <v>0</v>
      </c>
      <c r="BD273" s="85">
        <f t="shared" si="295"/>
        <v>0</v>
      </c>
      <c r="BE273" s="2"/>
      <c r="BF273" s="78">
        <f t="shared" ref="BF273:CC273" si="306">ROUND(BF267-(BF266+BF219-BF243),2)</f>
        <v>0</v>
      </c>
      <c r="BG273" s="78">
        <f t="shared" si="306"/>
        <v>0</v>
      </c>
      <c r="BH273" s="78">
        <f t="shared" si="306"/>
        <v>0</v>
      </c>
      <c r="BI273" s="78">
        <f t="shared" si="306"/>
        <v>0</v>
      </c>
      <c r="BJ273" s="78">
        <f t="shared" si="306"/>
        <v>0</v>
      </c>
      <c r="BK273" s="78">
        <f t="shared" si="306"/>
        <v>0</v>
      </c>
      <c r="BL273" s="78">
        <f t="shared" si="306"/>
        <v>0</v>
      </c>
      <c r="BM273" s="78">
        <f t="shared" si="306"/>
        <v>0</v>
      </c>
      <c r="BN273" s="78">
        <f t="shared" si="306"/>
        <v>0</v>
      </c>
      <c r="BO273" s="78">
        <f t="shared" si="306"/>
        <v>0</v>
      </c>
      <c r="BP273" s="78">
        <f t="shared" si="306"/>
        <v>0</v>
      </c>
      <c r="BQ273" s="78">
        <f t="shared" si="306"/>
        <v>0</v>
      </c>
      <c r="BR273" s="78">
        <f t="shared" si="306"/>
        <v>0</v>
      </c>
      <c r="BS273" s="78">
        <f t="shared" si="306"/>
        <v>0</v>
      </c>
      <c r="BT273" s="78">
        <f t="shared" si="306"/>
        <v>0</v>
      </c>
      <c r="BU273" s="78">
        <f t="shared" si="306"/>
        <v>0</v>
      </c>
      <c r="BV273" s="78">
        <f t="shared" si="306"/>
        <v>0</v>
      </c>
      <c r="BW273" s="78">
        <f t="shared" si="306"/>
        <v>0</v>
      </c>
      <c r="BX273" s="78">
        <f t="shared" si="306"/>
        <v>0</v>
      </c>
      <c r="BY273" s="78">
        <f t="shared" si="306"/>
        <v>0</v>
      </c>
      <c r="BZ273" s="78">
        <f t="shared" si="306"/>
        <v>0</v>
      </c>
      <c r="CA273" s="78">
        <f t="shared" si="306"/>
        <v>0</v>
      </c>
      <c r="CB273" s="78">
        <f t="shared" si="306"/>
        <v>0</v>
      </c>
      <c r="CC273" s="78">
        <f t="shared" si="306"/>
        <v>0</v>
      </c>
      <c r="CD273" s="85">
        <f t="shared" si="297"/>
        <v>0</v>
      </c>
      <c r="CE273" s="85">
        <f t="shared" si="298"/>
        <v>0</v>
      </c>
      <c r="CF273" s="2"/>
      <c r="CG273" s="78">
        <f t="shared" ref="CG273:DD273" si="307">ROUND(CG267-(CG266+CG219-CG243),2)</f>
        <v>0</v>
      </c>
      <c r="CH273" s="78">
        <f t="shared" si="307"/>
        <v>0</v>
      </c>
      <c r="CI273" s="78">
        <f t="shared" si="307"/>
        <v>0</v>
      </c>
      <c r="CJ273" s="78">
        <f t="shared" si="307"/>
        <v>0</v>
      </c>
      <c r="CK273" s="78">
        <f t="shared" si="307"/>
        <v>0</v>
      </c>
      <c r="CL273" s="78">
        <f t="shared" si="307"/>
        <v>0</v>
      </c>
      <c r="CM273" s="78">
        <f t="shared" si="307"/>
        <v>0</v>
      </c>
      <c r="CN273" s="78">
        <f t="shared" si="307"/>
        <v>0</v>
      </c>
      <c r="CO273" s="78">
        <f t="shared" si="307"/>
        <v>0</v>
      </c>
      <c r="CP273" s="78">
        <f t="shared" si="307"/>
        <v>0</v>
      </c>
      <c r="CQ273" s="78">
        <f t="shared" si="307"/>
        <v>0</v>
      </c>
      <c r="CR273" s="78">
        <f t="shared" si="307"/>
        <v>0</v>
      </c>
      <c r="CS273" s="78">
        <f t="shared" si="307"/>
        <v>0</v>
      </c>
      <c r="CT273" s="78">
        <f t="shared" si="307"/>
        <v>0</v>
      </c>
      <c r="CU273" s="78">
        <f t="shared" si="307"/>
        <v>0</v>
      </c>
      <c r="CV273" s="78">
        <f t="shared" si="307"/>
        <v>0</v>
      </c>
      <c r="CW273" s="78">
        <f t="shared" si="307"/>
        <v>0</v>
      </c>
      <c r="CX273" s="78">
        <f t="shared" si="307"/>
        <v>0</v>
      </c>
      <c r="CY273" s="78">
        <f t="shared" si="307"/>
        <v>0</v>
      </c>
      <c r="CZ273" s="78">
        <f t="shared" si="307"/>
        <v>0</v>
      </c>
      <c r="DA273" s="78">
        <f t="shared" si="307"/>
        <v>0</v>
      </c>
      <c r="DB273" s="78">
        <f t="shared" si="307"/>
        <v>0</v>
      </c>
      <c r="DC273" s="78">
        <f t="shared" si="307"/>
        <v>0</v>
      </c>
      <c r="DD273" s="78">
        <f t="shared" si="307"/>
        <v>0</v>
      </c>
      <c r="DE273" s="85">
        <f t="shared" si="300"/>
        <v>0</v>
      </c>
      <c r="DF273" s="85">
        <f t="shared" si="301"/>
        <v>0</v>
      </c>
      <c r="DG273"/>
      <c r="DH273"/>
    </row>
    <row r="274" spans="1:112" hidden="1" x14ac:dyDescent="0.2">
      <c r="A274" s="2"/>
      <c r="B274" s="35" t="s">
        <v>196</v>
      </c>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78">
        <f t="shared" ref="AE274:BB274" si="308">ROUND(AE250-AE190*(inp_ar_days+INDEX(ref_scn_ar_adj,1))/30,2)</f>
        <v>0</v>
      </c>
      <c r="AF274" s="78">
        <f t="shared" si="308"/>
        <v>0</v>
      </c>
      <c r="AG274" s="78">
        <f t="shared" si="308"/>
        <v>0</v>
      </c>
      <c r="AH274" s="78">
        <f t="shared" si="308"/>
        <v>0</v>
      </c>
      <c r="AI274" s="78">
        <f t="shared" si="308"/>
        <v>0</v>
      </c>
      <c r="AJ274" s="78">
        <f t="shared" si="308"/>
        <v>0</v>
      </c>
      <c r="AK274" s="78">
        <f t="shared" si="308"/>
        <v>0</v>
      </c>
      <c r="AL274" s="78">
        <f t="shared" si="308"/>
        <v>0</v>
      </c>
      <c r="AM274" s="78">
        <f t="shared" si="308"/>
        <v>0</v>
      </c>
      <c r="AN274" s="78">
        <f t="shared" si="308"/>
        <v>0</v>
      </c>
      <c r="AO274" s="78">
        <f t="shared" si="308"/>
        <v>0</v>
      </c>
      <c r="AP274" s="78">
        <f t="shared" si="308"/>
        <v>0</v>
      </c>
      <c r="AQ274" s="78">
        <f t="shared" si="308"/>
        <v>0</v>
      </c>
      <c r="AR274" s="78">
        <f t="shared" si="308"/>
        <v>0</v>
      </c>
      <c r="AS274" s="78">
        <f t="shared" si="308"/>
        <v>0</v>
      </c>
      <c r="AT274" s="78">
        <f t="shared" si="308"/>
        <v>0</v>
      </c>
      <c r="AU274" s="78">
        <f t="shared" si="308"/>
        <v>0</v>
      </c>
      <c r="AV274" s="78">
        <f t="shared" si="308"/>
        <v>0</v>
      </c>
      <c r="AW274" s="78">
        <f t="shared" si="308"/>
        <v>0</v>
      </c>
      <c r="AX274" s="78">
        <f t="shared" si="308"/>
        <v>0</v>
      </c>
      <c r="AY274" s="78">
        <f t="shared" si="308"/>
        <v>0</v>
      </c>
      <c r="AZ274" s="78">
        <f t="shared" si="308"/>
        <v>0</v>
      </c>
      <c r="BA274" s="78">
        <f t="shared" si="308"/>
        <v>0</v>
      </c>
      <c r="BB274" s="78">
        <f t="shared" si="308"/>
        <v>0</v>
      </c>
      <c r="BC274" s="85">
        <f t="shared" si="294"/>
        <v>0</v>
      </c>
      <c r="BD274" s="85">
        <f t="shared" si="295"/>
        <v>0</v>
      </c>
      <c r="BE274" s="2"/>
      <c r="BF274" s="78">
        <f t="shared" ref="BF274:CC274" si="309">ROUND(BF250-BF190*(inp_ar_days+INDEX(ref_scn_ar_adj,2))/30,2)</f>
        <v>0</v>
      </c>
      <c r="BG274" s="78">
        <f t="shared" si="309"/>
        <v>0</v>
      </c>
      <c r="BH274" s="78">
        <f t="shared" si="309"/>
        <v>0</v>
      </c>
      <c r="BI274" s="78">
        <f t="shared" si="309"/>
        <v>0</v>
      </c>
      <c r="BJ274" s="78">
        <f t="shared" si="309"/>
        <v>0</v>
      </c>
      <c r="BK274" s="78">
        <f t="shared" si="309"/>
        <v>0</v>
      </c>
      <c r="BL274" s="78">
        <f t="shared" si="309"/>
        <v>0</v>
      </c>
      <c r="BM274" s="78">
        <f t="shared" si="309"/>
        <v>0</v>
      </c>
      <c r="BN274" s="78">
        <f t="shared" si="309"/>
        <v>0</v>
      </c>
      <c r="BO274" s="78">
        <f t="shared" si="309"/>
        <v>0</v>
      </c>
      <c r="BP274" s="78">
        <f t="shared" si="309"/>
        <v>0</v>
      </c>
      <c r="BQ274" s="78">
        <f t="shared" si="309"/>
        <v>0</v>
      </c>
      <c r="BR274" s="78">
        <f t="shared" si="309"/>
        <v>0</v>
      </c>
      <c r="BS274" s="78">
        <f t="shared" si="309"/>
        <v>0</v>
      </c>
      <c r="BT274" s="78">
        <f t="shared" si="309"/>
        <v>0</v>
      </c>
      <c r="BU274" s="78">
        <f t="shared" si="309"/>
        <v>0</v>
      </c>
      <c r="BV274" s="78">
        <f t="shared" si="309"/>
        <v>0</v>
      </c>
      <c r="BW274" s="78">
        <f t="shared" si="309"/>
        <v>0</v>
      </c>
      <c r="BX274" s="78">
        <f t="shared" si="309"/>
        <v>0</v>
      </c>
      <c r="BY274" s="78">
        <f t="shared" si="309"/>
        <v>0</v>
      </c>
      <c r="BZ274" s="78">
        <f t="shared" si="309"/>
        <v>0</v>
      </c>
      <c r="CA274" s="78">
        <f t="shared" si="309"/>
        <v>0</v>
      </c>
      <c r="CB274" s="78">
        <f t="shared" si="309"/>
        <v>0</v>
      </c>
      <c r="CC274" s="78">
        <f t="shared" si="309"/>
        <v>0</v>
      </c>
      <c r="CD274" s="85">
        <f t="shared" si="297"/>
        <v>0</v>
      </c>
      <c r="CE274" s="85">
        <f t="shared" si="298"/>
        <v>0</v>
      </c>
      <c r="CF274" s="2"/>
      <c r="CG274" s="78">
        <f t="shared" ref="CG274:DD274" si="310">ROUND(CG250-CG190*(inp_ar_days+INDEX(ref_scn_ar_adj,3))/30,2)</f>
        <v>0</v>
      </c>
      <c r="CH274" s="78">
        <f t="shared" si="310"/>
        <v>0</v>
      </c>
      <c r="CI274" s="78">
        <f t="shared" si="310"/>
        <v>0</v>
      </c>
      <c r="CJ274" s="78">
        <f t="shared" si="310"/>
        <v>0</v>
      </c>
      <c r="CK274" s="78">
        <f t="shared" si="310"/>
        <v>0</v>
      </c>
      <c r="CL274" s="78">
        <f t="shared" si="310"/>
        <v>0</v>
      </c>
      <c r="CM274" s="78">
        <f t="shared" si="310"/>
        <v>0</v>
      </c>
      <c r="CN274" s="78">
        <f t="shared" si="310"/>
        <v>0</v>
      </c>
      <c r="CO274" s="78">
        <f t="shared" si="310"/>
        <v>0</v>
      </c>
      <c r="CP274" s="78">
        <f t="shared" si="310"/>
        <v>0</v>
      </c>
      <c r="CQ274" s="78">
        <f t="shared" si="310"/>
        <v>0</v>
      </c>
      <c r="CR274" s="78">
        <f t="shared" si="310"/>
        <v>0</v>
      </c>
      <c r="CS274" s="78">
        <f t="shared" si="310"/>
        <v>0</v>
      </c>
      <c r="CT274" s="78">
        <f t="shared" si="310"/>
        <v>0</v>
      </c>
      <c r="CU274" s="78">
        <f t="shared" si="310"/>
        <v>0</v>
      </c>
      <c r="CV274" s="78">
        <f t="shared" si="310"/>
        <v>0</v>
      </c>
      <c r="CW274" s="78">
        <f t="shared" si="310"/>
        <v>0</v>
      </c>
      <c r="CX274" s="78">
        <f t="shared" si="310"/>
        <v>0</v>
      </c>
      <c r="CY274" s="78">
        <f t="shared" si="310"/>
        <v>0</v>
      </c>
      <c r="CZ274" s="78">
        <f t="shared" si="310"/>
        <v>0</v>
      </c>
      <c r="DA274" s="78">
        <f t="shared" si="310"/>
        <v>0</v>
      </c>
      <c r="DB274" s="78">
        <f t="shared" si="310"/>
        <v>0</v>
      </c>
      <c r="DC274" s="78">
        <f t="shared" si="310"/>
        <v>0</v>
      </c>
      <c r="DD274" s="78">
        <f t="shared" si="310"/>
        <v>0</v>
      </c>
      <c r="DE274" s="85">
        <f t="shared" si="300"/>
        <v>0</v>
      </c>
      <c r="DF274" s="85">
        <f t="shared" si="301"/>
        <v>0</v>
      </c>
      <c r="DG274"/>
      <c r="DH274"/>
    </row>
    <row r="275" spans="1:112" hidden="1" x14ac:dyDescent="0.2">
      <c r="A275" s="2"/>
      <c r="B275" s="35" t="s">
        <v>405</v>
      </c>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78">
        <f t="shared" ref="AE275:BB275" si="311">ROUND(AE257-AE200*(inp_ap_days+_xlfn.SINGLE(INDEX(ref_scn_ap_adj,1)))/30,2)</f>
        <v>0</v>
      </c>
      <c r="AF275" s="78">
        <f t="shared" si="311"/>
        <v>0</v>
      </c>
      <c r="AG275" s="78">
        <f t="shared" si="311"/>
        <v>0</v>
      </c>
      <c r="AH275" s="78">
        <f t="shared" si="311"/>
        <v>0</v>
      </c>
      <c r="AI275" s="78">
        <f t="shared" si="311"/>
        <v>0</v>
      </c>
      <c r="AJ275" s="78">
        <f t="shared" si="311"/>
        <v>0</v>
      </c>
      <c r="AK275" s="78">
        <f t="shared" si="311"/>
        <v>0</v>
      </c>
      <c r="AL275" s="78">
        <f t="shared" si="311"/>
        <v>0</v>
      </c>
      <c r="AM275" s="78">
        <f t="shared" si="311"/>
        <v>0</v>
      </c>
      <c r="AN275" s="78">
        <f t="shared" si="311"/>
        <v>0</v>
      </c>
      <c r="AO275" s="78">
        <f t="shared" si="311"/>
        <v>0</v>
      </c>
      <c r="AP275" s="78">
        <f t="shared" si="311"/>
        <v>0</v>
      </c>
      <c r="AQ275" s="78">
        <f t="shared" si="311"/>
        <v>0</v>
      </c>
      <c r="AR275" s="78">
        <f t="shared" si="311"/>
        <v>0</v>
      </c>
      <c r="AS275" s="78">
        <f t="shared" si="311"/>
        <v>0</v>
      </c>
      <c r="AT275" s="78">
        <f t="shared" si="311"/>
        <v>0</v>
      </c>
      <c r="AU275" s="78">
        <f t="shared" si="311"/>
        <v>0</v>
      </c>
      <c r="AV275" s="78">
        <f t="shared" si="311"/>
        <v>0</v>
      </c>
      <c r="AW275" s="78">
        <f t="shared" si="311"/>
        <v>0</v>
      </c>
      <c r="AX275" s="78">
        <f t="shared" si="311"/>
        <v>0</v>
      </c>
      <c r="AY275" s="78">
        <f t="shared" si="311"/>
        <v>0</v>
      </c>
      <c r="AZ275" s="78">
        <f t="shared" si="311"/>
        <v>0</v>
      </c>
      <c r="BA275" s="78">
        <f t="shared" si="311"/>
        <v>0</v>
      </c>
      <c r="BB275" s="78">
        <f t="shared" si="311"/>
        <v>0</v>
      </c>
      <c r="BC275" s="85">
        <f t="shared" si="294"/>
        <v>0</v>
      </c>
      <c r="BD275" s="85">
        <f t="shared" si="295"/>
        <v>0</v>
      </c>
      <c r="BE275" s="2"/>
      <c r="BF275" s="78">
        <f t="shared" ref="BF275:CC275" si="312">ROUND(BF257-BF200*(inp_ap_days+_xlfn.SINGLE(INDEX(ref_scn_ap_adj,2)))/30,2)</f>
        <v>0</v>
      </c>
      <c r="BG275" s="78">
        <f t="shared" si="312"/>
        <v>0</v>
      </c>
      <c r="BH275" s="78">
        <f t="shared" si="312"/>
        <v>0</v>
      </c>
      <c r="BI275" s="78">
        <f t="shared" si="312"/>
        <v>0</v>
      </c>
      <c r="BJ275" s="78">
        <f t="shared" si="312"/>
        <v>0</v>
      </c>
      <c r="BK275" s="78">
        <f t="shared" si="312"/>
        <v>0</v>
      </c>
      <c r="BL275" s="78">
        <f t="shared" si="312"/>
        <v>0</v>
      </c>
      <c r="BM275" s="78">
        <f t="shared" si="312"/>
        <v>0</v>
      </c>
      <c r="BN275" s="78">
        <f t="shared" si="312"/>
        <v>0</v>
      </c>
      <c r="BO275" s="78">
        <f t="shared" si="312"/>
        <v>0</v>
      </c>
      <c r="BP275" s="78">
        <f t="shared" si="312"/>
        <v>0</v>
      </c>
      <c r="BQ275" s="78">
        <f t="shared" si="312"/>
        <v>0</v>
      </c>
      <c r="BR275" s="78">
        <f t="shared" si="312"/>
        <v>0</v>
      </c>
      <c r="BS275" s="78">
        <f t="shared" si="312"/>
        <v>0</v>
      </c>
      <c r="BT275" s="78">
        <f t="shared" si="312"/>
        <v>0</v>
      </c>
      <c r="BU275" s="78">
        <f t="shared" si="312"/>
        <v>0</v>
      </c>
      <c r="BV275" s="78">
        <f t="shared" si="312"/>
        <v>0</v>
      </c>
      <c r="BW275" s="78">
        <f t="shared" si="312"/>
        <v>0</v>
      </c>
      <c r="BX275" s="78">
        <f t="shared" si="312"/>
        <v>0</v>
      </c>
      <c r="BY275" s="78">
        <f t="shared" si="312"/>
        <v>0</v>
      </c>
      <c r="BZ275" s="78">
        <f t="shared" si="312"/>
        <v>0</v>
      </c>
      <c r="CA275" s="78">
        <f t="shared" si="312"/>
        <v>0</v>
      </c>
      <c r="CB275" s="78">
        <f t="shared" si="312"/>
        <v>0</v>
      </c>
      <c r="CC275" s="78">
        <f t="shared" si="312"/>
        <v>0</v>
      </c>
      <c r="CD275" s="85">
        <f t="shared" si="297"/>
        <v>0</v>
      </c>
      <c r="CE275" s="85">
        <f t="shared" si="298"/>
        <v>0</v>
      </c>
      <c r="CF275" s="2"/>
      <c r="CG275" s="78">
        <f t="shared" ref="CG275:DD275" si="313">ROUND(CG257-CG200*(inp_ap_days+_xlfn.SINGLE(INDEX(ref_scn_ap_adj,3)))/30,2)</f>
        <v>0</v>
      </c>
      <c r="CH275" s="78">
        <f t="shared" si="313"/>
        <v>0</v>
      </c>
      <c r="CI275" s="78">
        <f t="shared" si="313"/>
        <v>0</v>
      </c>
      <c r="CJ275" s="78">
        <f t="shared" si="313"/>
        <v>0</v>
      </c>
      <c r="CK275" s="78">
        <f t="shared" si="313"/>
        <v>0</v>
      </c>
      <c r="CL275" s="78">
        <f t="shared" si="313"/>
        <v>0</v>
      </c>
      <c r="CM275" s="78">
        <f t="shared" si="313"/>
        <v>0</v>
      </c>
      <c r="CN275" s="78">
        <f t="shared" si="313"/>
        <v>0</v>
      </c>
      <c r="CO275" s="78">
        <f t="shared" si="313"/>
        <v>0</v>
      </c>
      <c r="CP275" s="78">
        <f t="shared" si="313"/>
        <v>0</v>
      </c>
      <c r="CQ275" s="78">
        <f t="shared" si="313"/>
        <v>0</v>
      </c>
      <c r="CR275" s="78">
        <f t="shared" si="313"/>
        <v>0</v>
      </c>
      <c r="CS275" s="78">
        <f t="shared" si="313"/>
        <v>0</v>
      </c>
      <c r="CT275" s="78">
        <f t="shared" si="313"/>
        <v>0</v>
      </c>
      <c r="CU275" s="78">
        <f t="shared" si="313"/>
        <v>0</v>
      </c>
      <c r="CV275" s="78">
        <f t="shared" si="313"/>
        <v>0</v>
      </c>
      <c r="CW275" s="78">
        <f t="shared" si="313"/>
        <v>0</v>
      </c>
      <c r="CX275" s="78">
        <f t="shared" si="313"/>
        <v>0</v>
      </c>
      <c r="CY275" s="78">
        <f t="shared" si="313"/>
        <v>0</v>
      </c>
      <c r="CZ275" s="78">
        <f t="shared" si="313"/>
        <v>0</v>
      </c>
      <c r="DA275" s="78">
        <f t="shared" si="313"/>
        <v>0</v>
      </c>
      <c r="DB275" s="78">
        <f t="shared" si="313"/>
        <v>0</v>
      </c>
      <c r="DC275" s="78">
        <f t="shared" si="313"/>
        <v>0</v>
      </c>
      <c r="DD275" s="78">
        <f t="shared" si="313"/>
        <v>0</v>
      </c>
      <c r="DE275" s="85">
        <f t="shared" si="300"/>
        <v>0</v>
      </c>
      <c r="DF275" s="85">
        <f t="shared" si="301"/>
        <v>0</v>
      </c>
      <c r="DG275"/>
      <c r="DH275"/>
    </row>
    <row r="276" spans="1:112" hidden="1" x14ac:dyDescent="0.2">
      <c r="A276" s="2"/>
      <c r="B276" s="35" t="s">
        <v>197</v>
      </c>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78">
        <f t="shared" ref="AE276:BB276" si="314">ROUND(AE261-(AE215+AE241-AE242),2)</f>
        <v>0</v>
      </c>
      <c r="AF276" s="78">
        <f t="shared" si="314"/>
        <v>0</v>
      </c>
      <c r="AG276" s="78">
        <f t="shared" si="314"/>
        <v>0</v>
      </c>
      <c r="AH276" s="78">
        <f t="shared" si="314"/>
        <v>0</v>
      </c>
      <c r="AI276" s="78">
        <f t="shared" si="314"/>
        <v>0</v>
      </c>
      <c r="AJ276" s="78">
        <f t="shared" si="314"/>
        <v>0</v>
      </c>
      <c r="AK276" s="78">
        <f t="shared" si="314"/>
        <v>0</v>
      </c>
      <c r="AL276" s="78">
        <f t="shared" si="314"/>
        <v>0</v>
      </c>
      <c r="AM276" s="78">
        <f t="shared" si="314"/>
        <v>0</v>
      </c>
      <c r="AN276" s="78">
        <f t="shared" si="314"/>
        <v>0</v>
      </c>
      <c r="AO276" s="78">
        <f t="shared" si="314"/>
        <v>0</v>
      </c>
      <c r="AP276" s="78">
        <f t="shared" si="314"/>
        <v>0</v>
      </c>
      <c r="AQ276" s="78">
        <f t="shared" si="314"/>
        <v>0</v>
      </c>
      <c r="AR276" s="78">
        <f t="shared" si="314"/>
        <v>0</v>
      </c>
      <c r="AS276" s="78">
        <f t="shared" si="314"/>
        <v>0</v>
      </c>
      <c r="AT276" s="78">
        <f t="shared" si="314"/>
        <v>0</v>
      </c>
      <c r="AU276" s="78">
        <f t="shared" si="314"/>
        <v>0</v>
      </c>
      <c r="AV276" s="78">
        <f t="shared" si="314"/>
        <v>0</v>
      </c>
      <c r="AW276" s="78">
        <f t="shared" si="314"/>
        <v>0</v>
      </c>
      <c r="AX276" s="78">
        <f t="shared" si="314"/>
        <v>0</v>
      </c>
      <c r="AY276" s="78">
        <f t="shared" si="314"/>
        <v>0</v>
      </c>
      <c r="AZ276" s="78">
        <f t="shared" si="314"/>
        <v>0</v>
      </c>
      <c r="BA276" s="78">
        <f t="shared" si="314"/>
        <v>0</v>
      </c>
      <c r="BB276" s="78">
        <f t="shared" si="314"/>
        <v>0</v>
      </c>
      <c r="BC276" s="85">
        <f t="shared" si="294"/>
        <v>0</v>
      </c>
      <c r="BD276" s="85">
        <f t="shared" si="295"/>
        <v>0</v>
      </c>
      <c r="BE276" s="2"/>
      <c r="BF276" s="78">
        <f t="shared" ref="BF276:CC276" si="315">ROUND(BF261-(BF215+BF241-BF242),2)</f>
        <v>0</v>
      </c>
      <c r="BG276" s="78">
        <f t="shared" si="315"/>
        <v>0</v>
      </c>
      <c r="BH276" s="78">
        <f t="shared" si="315"/>
        <v>0</v>
      </c>
      <c r="BI276" s="78">
        <f t="shared" si="315"/>
        <v>0</v>
      </c>
      <c r="BJ276" s="78">
        <f t="shared" si="315"/>
        <v>0</v>
      </c>
      <c r="BK276" s="78">
        <f t="shared" si="315"/>
        <v>0</v>
      </c>
      <c r="BL276" s="78">
        <f t="shared" si="315"/>
        <v>0</v>
      </c>
      <c r="BM276" s="78">
        <f t="shared" si="315"/>
        <v>0</v>
      </c>
      <c r="BN276" s="78">
        <f t="shared" si="315"/>
        <v>0</v>
      </c>
      <c r="BO276" s="78">
        <f t="shared" si="315"/>
        <v>0</v>
      </c>
      <c r="BP276" s="78">
        <f t="shared" si="315"/>
        <v>0</v>
      </c>
      <c r="BQ276" s="78">
        <f t="shared" si="315"/>
        <v>0</v>
      </c>
      <c r="BR276" s="78">
        <f t="shared" si="315"/>
        <v>0</v>
      </c>
      <c r="BS276" s="78">
        <f t="shared" si="315"/>
        <v>0</v>
      </c>
      <c r="BT276" s="78">
        <f t="shared" si="315"/>
        <v>0</v>
      </c>
      <c r="BU276" s="78">
        <f t="shared" si="315"/>
        <v>0</v>
      </c>
      <c r="BV276" s="78">
        <f t="shared" si="315"/>
        <v>0</v>
      </c>
      <c r="BW276" s="78">
        <f t="shared" si="315"/>
        <v>0</v>
      </c>
      <c r="BX276" s="78">
        <f t="shared" si="315"/>
        <v>0</v>
      </c>
      <c r="BY276" s="78">
        <f t="shared" si="315"/>
        <v>0</v>
      </c>
      <c r="BZ276" s="78">
        <f t="shared" si="315"/>
        <v>0</v>
      </c>
      <c r="CA276" s="78">
        <f t="shared" si="315"/>
        <v>0</v>
      </c>
      <c r="CB276" s="78">
        <f t="shared" si="315"/>
        <v>0</v>
      </c>
      <c r="CC276" s="78">
        <f t="shared" si="315"/>
        <v>0</v>
      </c>
      <c r="CD276" s="85">
        <f t="shared" si="297"/>
        <v>0</v>
      </c>
      <c r="CE276" s="85">
        <f t="shared" si="298"/>
        <v>0</v>
      </c>
      <c r="CF276" s="2"/>
      <c r="CG276" s="78">
        <f t="shared" ref="CG276:DD276" si="316">ROUND(CG261-(CG215+CG241-CG242),2)</f>
        <v>0</v>
      </c>
      <c r="CH276" s="78">
        <f t="shared" si="316"/>
        <v>0</v>
      </c>
      <c r="CI276" s="78">
        <f t="shared" si="316"/>
        <v>0</v>
      </c>
      <c r="CJ276" s="78">
        <f t="shared" si="316"/>
        <v>0</v>
      </c>
      <c r="CK276" s="78">
        <f t="shared" si="316"/>
        <v>0</v>
      </c>
      <c r="CL276" s="78">
        <f t="shared" si="316"/>
        <v>0</v>
      </c>
      <c r="CM276" s="78">
        <f t="shared" si="316"/>
        <v>0</v>
      </c>
      <c r="CN276" s="78">
        <f t="shared" si="316"/>
        <v>0</v>
      </c>
      <c r="CO276" s="78">
        <f t="shared" si="316"/>
        <v>0</v>
      </c>
      <c r="CP276" s="78">
        <f t="shared" si="316"/>
        <v>0</v>
      </c>
      <c r="CQ276" s="78">
        <f t="shared" si="316"/>
        <v>0</v>
      </c>
      <c r="CR276" s="78">
        <f t="shared" si="316"/>
        <v>0</v>
      </c>
      <c r="CS276" s="78">
        <f t="shared" si="316"/>
        <v>0</v>
      </c>
      <c r="CT276" s="78">
        <f t="shared" si="316"/>
        <v>0</v>
      </c>
      <c r="CU276" s="78">
        <f t="shared" si="316"/>
        <v>0</v>
      </c>
      <c r="CV276" s="78">
        <f t="shared" si="316"/>
        <v>0</v>
      </c>
      <c r="CW276" s="78">
        <f t="shared" si="316"/>
        <v>0</v>
      </c>
      <c r="CX276" s="78">
        <f t="shared" si="316"/>
        <v>0</v>
      </c>
      <c r="CY276" s="78">
        <f t="shared" si="316"/>
        <v>0</v>
      </c>
      <c r="CZ276" s="78">
        <f t="shared" si="316"/>
        <v>0</v>
      </c>
      <c r="DA276" s="78">
        <f t="shared" si="316"/>
        <v>0</v>
      </c>
      <c r="DB276" s="78">
        <f t="shared" si="316"/>
        <v>0</v>
      </c>
      <c r="DC276" s="78">
        <f t="shared" si="316"/>
        <v>0</v>
      </c>
      <c r="DD276" s="78">
        <f t="shared" si="316"/>
        <v>0</v>
      </c>
      <c r="DE276" s="85">
        <f t="shared" si="300"/>
        <v>0</v>
      </c>
      <c r="DF276" s="85">
        <f t="shared" si="301"/>
        <v>0</v>
      </c>
      <c r="DG276"/>
      <c r="DH276"/>
    </row>
    <row r="277" spans="1:112" hidden="1" x14ac:dyDescent="0.2">
      <c r="A277" s="2"/>
      <c r="B277" s="35" t="s">
        <v>198</v>
      </c>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78">
        <f t="shared" ref="AE277:BB277" si="317">ROUND(AE237-(-AE223+AE226-AE229+AE232+AE236),2)</f>
        <v>0</v>
      </c>
      <c r="AF277" s="78">
        <f t="shared" si="317"/>
        <v>0</v>
      </c>
      <c r="AG277" s="78">
        <f t="shared" si="317"/>
        <v>0</v>
      </c>
      <c r="AH277" s="78">
        <f t="shared" si="317"/>
        <v>0</v>
      </c>
      <c r="AI277" s="78">
        <f t="shared" si="317"/>
        <v>0</v>
      </c>
      <c r="AJ277" s="78">
        <f t="shared" si="317"/>
        <v>0</v>
      </c>
      <c r="AK277" s="78">
        <f t="shared" si="317"/>
        <v>0</v>
      </c>
      <c r="AL277" s="78">
        <f t="shared" si="317"/>
        <v>0</v>
      </c>
      <c r="AM277" s="78">
        <f t="shared" si="317"/>
        <v>0</v>
      </c>
      <c r="AN277" s="78">
        <f t="shared" si="317"/>
        <v>0</v>
      </c>
      <c r="AO277" s="78">
        <f t="shared" si="317"/>
        <v>0</v>
      </c>
      <c r="AP277" s="78">
        <f t="shared" si="317"/>
        <v>0</v>
      </c>
      <c r="AQ277" s="78">
        <f t="shared" si="317"/>
        <v>0</v>
      </c>
      <c r="AR277" s="78">
        <f t="shared" si="317"/>
        <v>0</v>
      </c>
      <c r="AS277" s="78">
        <f t="shared" si="317"/>
        <v>0</v>
      </c>
      <c r="AT277" s="78">
        <f t="shared" si="317"/>
        <v>0</v>
      </c>
      <c r="AU277" s="78">
        <f t="shared" si="317"/>
        <v>0</v>
      </c>
      <c r="AV277" s="78">
        <f t="shared" si="317"/>
        <v>0</v>
      </c>
      <c r="AW277" s="78">
        <f t="shared" si="317"/>
        <v>0</v>
      </c>
      <c r="AX277" s="78">
        <f t="shared" si="317"/>
        <v>0</v>
      </c>
      <c r="AY277" s="78">
        <f t="shared" si="317"/>
        <v>0</v>
      </c>
      <c r="AZ277" s="78">
        <f t="shared" si="317"/>
        <v>0</v>
      </c>
      <c r="BA277" s="78">
        <f t="shared" si="317"/>
        <v>0</v>
      </c>
      <c r="BB277" s="78">
        <f t="shared" si="317"/>
        <v>0</v>
      </c>
      <c r="BC277" s="85">
        <f t="shared" si="294"/>
        <v>0</v>
      </c>
      <c r="BD277" s="85">
        <f t="shared" si="295"/>
        <v>0</v>
      </c>
      <c r="BE277" s="2"/>
      <c r="BF277" s="78">
        <f t="shared" ref="BF277:CC277" si="318">ROUND(BF237-(-BF223+BF226-BF229+BF232+BF236),2)</f>
        <v>0</v>
      </c>
      <c r="BG277" s="78">
        <f t="shared" si="318"/>
        <v>0</v>
      </c>
      <c r="BH277" s="78">
        <f t="shared" si="318"/>
        <v>0</v>
      </c>
      <c r="BI277" s="78">
        <f t="shared" si="318"/>
        <v>0</v>
      </c>
      <c r="BJ277" s="78">
        <f t="shared" si="318"/>
        <v>0</v>
      </c>
      <c r="BK277" s="78">
        <f t="shared" si="318"/>
        <v>0</v>
      </c>
      <c r="BL277" s="78">
        <f t="shared" si="318"/>
        <v>0</v>
      </c>
      <c r="BM277" s="78">
        <f t="shared" si="318"/>
        <v>0</v>
      </c>
      <c r="BN277" s="78">
        <f t="shared" si="318"/>
        <v>0</v>
      </c>
      <c r="BO277" s="78">
        <f t="shared" si="318"/>
        <v>0</v>
      </c>
      <c r="BP277" s="78">
        <f t="shared" si="318"/>
        <v>0</v>
      </c>
      <c r="BQ277" s="78">
        <f t="shared" si="318"/>
        <v>0</v>
      </c>
      <c r="BR277" s="78">
        <f t="shared" si="318"/>
        <v>0</v>
      </c>
      <c r="BS277" s="78">
        <f t="shared" si="318"/>
        <v>0</v>
      </c>
      <c r="BT277" s="78">
        <f t="shared" si="318"/>
        <v>0</v>
      </c>
      <c r="BU277" s="78">
        <f t="shared" si="318"/>
        <v>0</v>
      </c>
      <c r="BV277" s="78">
        <f t="shared" si="318"/>
        <v>0</v>
      </c>
      <c r="BW277" s="78">
        <f t="shared" si="318"/>
        <v>0</v>
      </c>
      <c r="BX277" s="78">
        <f t="shared" si="318"/>
        <v>0</v>
      </c>
      <c r="BY277" s="78">
        <f t="shared" si="318"/>
        <v>0</v>
      </c>
      <c r="BZ277" s="78">
        <f t="shared" si="318"/>
        <v>0</v>
      </c>
      <c r="CA277" s="78">
        <f t="shared" si="318"/>
        <v>0</v>
      </c>
      <c r="CB277" s="78">
        <f t="shared" si="318"/>
        <v>0</v>
      </c>
      <c r="CC277" s="78">
        <f t="shared" si="318"/>
        <v>0</v>
      </c>
      <c r="CD277" s="85">
        <f t="shared" si="297"/>
        <v>0</v>
      </c>
      <c r="CE277" s="85">
        <f t="shared" si="298"/>
        <v>0</v>
      </c>
      <c r="CF277" s="2"/>
      <c r="CG277" s="78">
        <f t="shared" ref="CG277:DD277" si="319">ROUND(CG237-(-CG223+CG226-CG229+CG232+CG236),2)</f>
        <v>0</v>
      </c>
      <c r="CH277" s="78">
        <f t="shared" si="319"/>
        <v>0</v>
      </c>
      <c r="CI277" s="78">
        <f t="shared" si="319"/>
        <v>0</v>
      </c>
      <c r="CJ277" s="78">
        <f t="shared" si="319"/>
        <v>0</v>
      </c>
      <c r="CK277" s="78">
        <f t="shared" si="319"/>
        <v>0</v>
      </c>
      <c r="CL277" s="78">
        <f t="shared" si="319"/>
        <v>0</v>
      </c>
      <c r="CM277" s="78">
        <f t="shared" si="319"/>
        <v>0</v>
      </c>
      <c r="CN277" s="78">
        <f t="shared" si="319"/>
        <v>0</v>
      </c>
      <c r="CO277" s="78">
        <f t="shared" si="319"/>
        <v>0</v>
      </c>
      <c r="CP277" s="78">
        <f t="shared" si="319"/>
        <v>0</v>
      </c>
      <c r="CQ277" s="78">
        <f t="shared" si="319"/>
        <v>0</v>
      </c>
      <c r="CR277" s="78">
        <f t="shared" si="319"/>
        <v>0</v>
      </c>
      <c r="CS277" s="78">
        <f t="shared" si="319"/>
        <v>0</v>
      </c>
      <c r="CT277" s="78">
        <f t="shared" si="319"/>
        <v>0</v>
      </c>
      <c r="CU277" s="78">
        <f t="shared" si="319"/>
        <v>0</v>
      </c>
      <c r="CV277" s="78">
        <f t="shared" si="319"/>
        <v>0</v>
      </c>
      <c r="CW277" s="78">
        <f t="shared" si="319"/>
        <v>0</v>
      </c>
      <c r="CX277" s="78">
        <f t="shared" si="319"/>
        <v>0</v>
      </c>
      <c r="CY277" s="78">
        <f t="shared" si="319"/>
        <v>0</v>
      </c>
      <c r="CZ277" s="78">
        <f t="shared" si="319"/>
        <v>0</v>
      </c>
      <c r="DA277" s="78">
        <f t="shared" si="319"/>
        <v>0</v>
      </c>
      <c r="DB277" s="78">
        <f t="shared" si="319"/>
        <v>0</v>
      </c>
      <c r="DC277" s="78">
        <f t="shared" si="319"/>
        <v>0</v>
      </c>
      <c r="DD277" s="78">
        <f t="shared" si="319"/>
        <v>0</v>
      </c>
      <c r="DE277" s="85">
        <f t="shared" si="300"/>
        <v>0</v>
      </c>
      <c r="DF277" s="85">
        <f t="shared" si="301"/>
        <v>0</v>
      </c>
      <c r="DG277"/>
      <c r="DH277"/>
    </row>
    <row r="278" spans="1:112" hidden="1" x14ac:dyDescent="0.2">
      <c r="A278" s="2"/>
      <c r="B278" s="35" t="s">
        <v>199</v>
      </c>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78">
        <f t="shared" ref="AE278:BB278" si="320">ROUND((AE254-AE253)-(AE239-AE213),2)</f>
        <v>0</v>
      </c>
      <c r="AF278" s="78">
        <f t="shared" si="320"/>
        <v>0</v>
      </c>
      <c r="AG278" s="78">
        <f t="shared" si="320"/>
        <v>0</v>
      </c>
      <c r="AH278" s="78">
        <f t="shared" si="320"/>
        <v>0</v>
      </c>
      <c r="AI278" s="78">
        <f t="shared" si="320"/>
        <v>0</v>
      </c>
      <c r="AJ278" s="78">
        <f t="shared" si="320"/>
        <v>0</v>
      </c>
      <c r="AK278" s="78">
        <f t="shared" si="320"/>
        <v>0</v>
      </c>
      <c r="AL278" s="78">
        <f t="shared" si="320"/>
        <v>0</v>
      </c>
      <c r="AM278" s="78">
        <f t="shared" si="320"/>
        <v>0</v>
      </c>
      <c r="AN278" s="78">
        <f t="shared" si="320"/>
        <v>0</v>
      </c>
      <c r="AO278" s="78">
        <f t="shared" si="320"/>
        <v>0</v>
      </c>
      <c r="AP278" s="78">
        <f t="shared" si="320"/>
        <v>0</v>
      </c>
      <c r="AQ278" s="78">
        <f t="shared" si="320"/>
        <v>0</v>
      </c>
      <c r="AR278" s="78">
        <f t="shared" si="320"/>
        <v>0</v>
      </c>
      <c r="AS278" s="78">
        <f t="shared" si="320"/>
        <v>0</v>
      </c>
      <c r="AT278" s="78">
        <f t="shared" si="320"/>
        <v>0</v>
      </c>
      <c r="AU278" s="78">
        <f t="shared" si="320"/>
        <v>0</v>
      </c>
      <c r="AV278" s="78">
        <f t="shared" si="320"/>
        <v>0</v>
      </c>
      <c r="AW278" s="78">
        <f t="shared" si="320"/>
        <v>0</v>
      </c>
      <c r="AX278" s="78">
        <f t="shared" si="320"/>
        <v>0</v>
      </c>
      <c r="AY278" s="78">
        <f t="shared" si="320"/>
        <v>0</v>
      </c>
      <c r="AZ278" s="78">
        <f t="shared" si="320"/>
        <v>0</v>
      </c>
      <c r="BA278" s="78">
        <f t="shared" si="320"/>
        <v>0</v>
      </c>
      <c r="BB278" s="78">
        <f t="shared" si="320"/>
        <v>0</v>
      </c>
      <c r="BC278" s="85">
        <f t="shared" si="294"/>
        <v>0</v>
      </c>
      <c r="BD278" s="85">
        <f t="shared" si="295"/>
        <v>0</v>
      </c>
      <c r="BE278" s="2"/>
      <c r="BF278" s="78">
        <f t="shared" ref="BF278:CC278" si="321">ROUND((BF254-BF253)-(BF239-BF213),2)</f>
        <v>0</v>
      </c>
      <c r="BG278" s="78">
        <f t="shared" si="321"/>
        <v>0</v>
      </c>
      <c r="BH278" s="78">
        <f t="shared" si="321"/>
        <v>0</v>
      </c>
      <c r="BI278" s="78">
        <f t="shared" si="321"/>
        <v>0</v>
      </c>
      <c r="BJ278" s="78">
        <f t="shared" si="321"/>
        <v>0</v>
      </c>
      <c r="BK278" s="78">
        <f t="shared" si="321"/>
        <v>0</v>
      </c>
      <c r="BL278" s="78">
        <f t="shared" si="321"/>
        <v>0</v>
      </c>
      <c r="BM278" s="78">
        <f t="shared" si="321"/>
        <v>0</v>
      </c>
      <c r="BN278" s="78">
        <f t="shared" si="321"/>
        <v>0</v>
      </c>
      <c r="BO278" s="78">
        <f t="shared" si="321"/>
        <v>0</v>
      </c>
      <c r="BP278" s="78">
        <f t="shared" si="321"/>
        <v>0</v>
      </c>
      <c r="BQ278" s="78">
        <f t="shared" si="321"/>
        <v>0</v>
      </c>
      <c r="BR278" s="78">
        <f t="shared" si="321"/>
        <v>0</v>
      </c>
      <c r="BS278" s="78">
        <f t="shared" si="321"/>
        <v>0</v>
      </c>
      <c r="BT278" s="78">
        <f t="shared" si="321"/>
        <v>0</v>
      </c>
      <c r="BU278" s="78">
        <f t="shared" si="321"/>
        <v>0</v>
      </c>
      <c r="BV278" s="78">
        <f t="shared" si="321"/>
        <v>0</v>
      </c>
      <c r="BW278" s="78">
        <f t="shared" si="321"/>
        <v>0</v>
      </c>
      <c r="BX278" s="78">
        <f t="shared" si="321"/>
        <v>0</v>
      </c>
      <c r="BY278" s="78">
        <f t="shared" si="321"/>
        <v>0</v>
      </c>
      <c r="BZ278" s="78">
        <f t="shared" si="321"/>
        <v>0</v>
      </c>
      <c r="CA278" s="78">
        <f t="shared" si="321"/>
        <v>0</v>
      </c>
      <c r="CB278" s="78">
        <f t="shared" si="321"/>
        <v>0</v>
      </c>
      <c r="CC278" s="78">
        <f t="shared" si="321"/>
        <v>0</v>
      </c>
      <c r="CD278" s="85">
        <f t="shared" si="297"/>
        <v>0</v>
      </c>
      <c r="CE278" s="85">
        <f t="shared" si="298"/>
        <v>0</v>
      </c>
      <c r="CF278" s="2"/>
      <c r="CG278" s="78">
        <f t="shared" ref="CG278:DD278" si="322">ROUND((CG254-CG253)-(CG239-CG213),2)</f>
        <v>0</v>
      </c>
      <c r="CH278" s="78">
        <f t="shared" si="322"/>
        <v>0</v>
      </c>
      <c r="CI278" s="78">
        <f t="shared" si="322"/>
        <v>0</v>
      </c>
      <c r="CJ278" s="78">
        <f t="shared" si="322"/>
        <v>0</v>
      </c>
      <c r="CK278" s="78">
        <f t="shared" si="322"/>
        <v>0</v>
      </c>
      <c r="CL278" s="78">
        <f t="shared" si="322"/>
        <v>0</v>
      </c>
      <c r="CM278" s="78">
        <f t="shared" si="322"/>
        <v>0</v>
      </c>
      <c r="CN278" s="78">
        <f t="shared" si="322"/>
        <v>0</v>
      </c>
      <c r="CO278" s="78">
        <f t="shared" si="322"/>
        <v>0</v>
      </c>
      <c r="CP278" s="78">
        <f t="shared" si="322"/>
        <v>0</v>
      </c>
      <c r="CQ278" s="78">
        <f t="shared" si="322"/>
        <v>0</v>
      </c>
      <c r="CR278" s="78">
        <f t="shared" si="322"/>
        <v>0</v>
      </c>
      <c r="CS278" s="78">
        <f t="shared" si="322"/>
        <v>0</v>
      </c>
      <c r="CT278" s="78">
        <f t="shared" si="322"/>
        <v>0</v>
      </c>
      <c r="CU278" s="78">
        <f t="shared" si="322"/>
        <v>0</v>
      </c>
      <c r="CV278" s="78">
        <f t="shared" si="322"/>
        <v>0</v>
      </c>
      <c r="CW278" s="78">
        <f t="shared" si="322"/>
        <v>0</v>
      </c>
      <c r="CX278" s="78">
        <f t="shared" si="322"/>
        <v>0</v>
      </c>
      <c r="CY278" s="78">
        <f t="shared" si="322"/>
        <v>0</v>
      </c>
      <c r="CZ278" s="78">
        <f t="shared" si="322"/>
        <v>0</v>
      </c>
      <c r="DA278" s="78">
        <f t="shared" si="322"/>
        <v>0</v>
      </c>
      <c r="DB278" s="78">
        <f t="shared" si="322"/>
        <v>0</v>
      </c>
      <c r="DC278" s="78">
        <f t="shared" si="322"/>
        <v>0</v>
      </c>
      <c r="DD278" s="78">
        <f t="shared" si="322"/>
        <v>0</v>
      </c>
      <c r="DE278" s="85">
        <f t="shared" si="300"/>
        <v>0</v>
      </c>
      <c r="DF278" s="85">
        <f t="shared" si="301"/>
        <v>0</v>
      </c>
      <c r="DG278"/>
      <c r="DH278"/>
    </row>
    <row r="279" spans="1:112" hidden="1" x14ac:dyDescent="0.2">
      <c r="A279" s="2"/>
      <c r="B279" s="35" t="s">
        <v>200</v>
      </c>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69">
        <f t="shared" ref="AE279:BB279" si="323">AE216+AE242</f>
        <v>0</v>
      </c>
      <c r="AF279" s="69">
        <f t="shared" si="323"/>
        <v>0</v>
      </c>
      <c r="AG279" s="69">
        <f t="shared" si="323"/>
        <v>0</v>
      </c>
      <c r="AH279" s="69">
        <f t="shared" si="323"/>
        <v>0</v>
      </c>
      <c r="AI279" s="69">
        <f t="shared" si="323"/>
        <v>0</v>
      </c>
      <c r="AJ279" s="69">
        <f t="shared" si="323"/>
        <v>0</v>
      </c>
      <c r="AK279" s="69">
        <f t="shared" si="323"/>
        <v>0</v>
      </c>
      <c r="AL279" s="69">
        <f t="shared" si="323"/>
        <v>0</v>
      </c>
      <c r="AM279" s="69">
        <f t="shared" si="323"/>
        <v>0</v>
      </c>
      <c r="AN279" s="69">
        <f t="shared" si="323"/>
        <v>0</v>
      </c>
      <c r="AO279" s="69">
        <f t="shared" si="323"/>
        <v>0</v>
      </c>
      <c r="AP279" s="69">
        <f t="shared" si="323"/>
        <v>0</v>
      </c>
      <c r="AQ279" s="69">
        <f t="shared" si="323"/>
        <v>0</v>
      </c>
      <c r="AR279" s="69">
        <f t="shared" si="323"/>
        <v>0</v>
      </c>
      <c r="AS279" s="69">
        <f t="shared" si="323"/>
        <v>0</v>
      </c>
      <c r="AT279" s="69">
        <f t="shared" si="323"/>
        <v>0</v>
      </c>
      <c r="AU279" s="69">
        <f t="shared" si="323"/>
        <v>0</v>
      </c>
      <c r="AV279" s="69">
        <f t="shared" si="323"/>
        <v>0</v>
      </c>
      <c r="AW279" s="69">
        <f t="shared" si="323"/>
        <v>0</v>
      </c>
      <c r="AX279" s="69">
        <f t="shared" si="323"/>
        <v>0</v>
      </c>
      <c r="AY279" s="69">
        <f t="shared" si="323"/>
        <v>0</v>
      </c>
      <c r="AZ279" s="69">
        <f t="shared" si="323"/>
        <v>0</v>
      </c>
      <c r="BA279" s="69">
        <f t="shared" si="323"/>
        <v>0</v>
      </c>
      <c r="BB279" s="69">
        <f t="shared" si="323"/>
        <v>0</v>
      </c>
      <c r="BC279" s="70">
        <f>SUM(AE279:AP279)</f>
        <v>0</v>
      </c>
      <c r="BD279" s="70">
        <f>SUM(AQ279:BB279)</f>
        <v>0</v>
      </c>
      <c r="BE279" s="2"/>
      <c r="BF279" s="69">
        <f t="shared" ref="BF279:CC279" si="324">BF216+BF242</f>
        <v>0</v>
      </c>
      <c r="BG279" s="69">
        <f t="shared" si="324"/>
        <v>0</v>
      </c>
      <c r="BH279" s="69">
        <f t="shared" si="324"/>
        <v>0</v>
      </c>
      <c r="BI279" s="69">
        <f t="shared" si="324"/>
        <v>0</v>
      </c>
      <c r="BJ279" s="69">
        <f t="shared" si="324"/>
        <v>0</v>
      </c>
      <c r="BK279" s="69">
        <f t="shared" si="324"/>
        <v>0</v>
      </c>
      <c r="BL279" s="69">
        <f t="shared" si="324"/>
        <v>0</v>
      </c>
      <c r="BM279" s="69">
        <f t="shared" si="324"/>
        <v>0</v>
      </c>
      <c r="BN279" s="69">
        <f t="shared" si="324"/>
        <v>0</v>
      </c>
      <c r="BO279" s="69">
        <f t="shared" si="324"/>
        <v>0</v>
      </c>
      <c r="BP279" s="69">
        <f t="shared" si="324"/>
        <v>0</v>
      </c>
      <c r="BQ279" s="69">
        <f t="shared" si="324"/>
        <v>0</v>
      </c>
      <c r="BR279" s="69">
        <f t="shared" si="324"/>
        <v>0</v>
      </c>
      <c r="BS279" s="69">
        <f t="shared" si="324"/>
        <v>0</v>
      </c>
      <c r="BT279" s="69">
        <f t="shared" si="324"/>
        <v>0</v>
      </c>
      <c r="BU279" s="69">
        <f t="shared" si="324"/>
        <v>0</v>
      </c>
      <c r="BV279" s="69">
        <f t="shared" si="324"/>
        <v>0</v>
      </c>
      <c r="BW279" s="69">
        <f t="shared" si="324"/>
        <v>0</v>
      </c>
      <c r="BX279" s="69">
        <f t="shared" si="324"/>
        <v>0</v>
      </c>
      <c r="BY279" s="69">
        <f t="shared" si="324"/>
        <v>0</v>
      </c>
      <c r="BZ279" s="69">
        <f t="shared" si="324"/>
        <v>0</v>
      </c>
      <c r="CA279" s="69">
        <f t="shared" si="324"/>
        <v>0</v>
      </c>
      <c r="CB279" s="69">
        <f t="shared" si="324"/>
        <v>0</v>
      </c>
      <c r="CC279" s="69">
        <f t="shared" si="324"/>
        <v>0</v>
      </c>
      <c r="CD279" s="70">
        <f>SUM(BF279:BQ279)</f>
        <v>0</v>
      </c>
      <c r="CE279" s="70">
        <f>SUM(BR279:CC279)</f>
        <v>0</v>
      </c>
      <c r="CF279" s="2"/>
      <c r="CG279" s="69">
        <f t="shared" ref="CG279:DD279" si="325">CG216+CG242</f>
        <v>0</v>
      </c>
      <c r="CH279" s="69">
        <f t="shared" si="325"/>
        <v>0</v>
      </c>
      <c r="CI279" s="69">
        <f t="shared" si="325"/>
        <v>0</v>
      </c>
      <c r="CJ279" s="69">
        <f t="shared" si="325"/>
        <v>0</v>
      </c>
      <c r="CK279" s="69">
        <f t="shared" si="325"/>
        <v>0</v>
      </c>
      <c r="CL279" s="69">
        <f t="shared" si="325"/>
        <v>0</v>
      </c>
      <c r="CM279" s="69">
        <f t="shared" si="325"/>
        <v>0</v>
      </c>
      <c r="CN279" s="69">
        <f t="shared" si="325"/>
        <v>0</v>
      </c>
      <c r="CO279" s="69">
        <f t="shared" si="325"/>
        <v>0</v>
      </c>
      <c r="CP279" s="69">
        <f t="shared" si="325"/>
        <v>0</v>
      </c>
      <c r="CQ279" s="69">
        <f t="shared" si="325"/>
        <v>0</v>
      </c>
      <c r="CR279" s="69">
        <f t="shared" si="325"/>
        <v>0</v>
      </c>
      <c r="CS279" s="69">
        <f t="shared" si="325"/>
        <v>0</v>
      </c>
      <c r="CT279" s="69">
        <f t="shared" si="325"/>
        <v>0</v>
      </c>
      <c r="CU279" s="69">
        <f t="shared" si="325"/>
        <v>0</v>
      </c>
      <c r="CV279" s="69">
        <f t="shared" si="325"/>
        <v>0</v>
      </c>
      <c r="CW279" s="69">
        <f t="shared" si="325"/>
        <v>0</v>
      </c>
      <c r="CX279" s="69">
        <f t="shared" si="325"/>
        <v>0</v>
      </c>
      <c r="CY279" s="69">
        <f t="shared" si="325"/>
        <v>0</v>
      </c>
      <c r="CZ279" s="69">
        <f t="shared" si="325"/>
        <v>0</v>
      </c>
      <c r="DA279" s="69">
        <f t="shared" si="325"/>
        <v>0</v>
      </c>
      <c r="DB279" s="69">
        <f t="shared" si="325"/>
        <v>0</v>
      </c>
      <c r="DC279" s="69">
        <f t="shared" si="325"/>
        <v>0</v>
      </c>
      <c r="DD279" s="69">
        <f t="shared" si="325"/>
        <v>0</v>
      </c>
      <c r="DE279" s="70">
        <f>SUM(CG279:CR279)</f>
        <v>0</v>
      </c>
      <c r="DF279" s="70">
        <f>SUM(CS279:DD279)</f>
        <v>0</v>
      </c>
      <c r="DG279"/>
      <c r="DH279"/>
    </row>
    <row r="280" spans="1:112" hidden="1" x14ac:dyDescent="0.2">
      <c r="A280" s="2"/>
      <c r="B280" s="35" t="s">
        <v>201</v>
      </c>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73">
        <f t="shared" ref="AE280:BB280" si="326">IFERROR(AE211/AE279,0)</f>
        <v>0</v>
      </c>
      <c r="AF280" s="73">
        <f t="shared" si="326"/>
        <v>0</v>
      </c>
      <c r="AG280" s="73">
        <f t="shared" si="326"/>
        <v>0</v>
      </c>
      <c r="AH280" s="73">
        <f t="shared" si="326"/>
        <v>0</v>
      </c>
      <c r="AI280" s="73">
        <f t="shared" si="326"/>
        <v>0</v>
      </c>
      <c r="AJ280" s="73">
        <f t="shared" si="326"/>
        <v>0</v>
      </c>
      <c r="AK280" s="73">
        <f t="shared" si="326"/>
        <v>0</v>
      </c>
      <c r="AL280" s="73">
        <f t="shared" si="326"/>
        <v>0</v>
      </c>
      <c r="AM280" s="73">
        <f t="shared" si="326"/>
        <v>0</v>
      </c>
      <c r="AN280" s="73">
        <f t="shared" si="326"/>
        <v>0</v>
      </c>
      <c r="AO280" s="73">
        <f t="shared" si="326"/>
        <v>0</v>
      </c>
      <c r="AP280" s="73">
        <f t="shared" si="326"/>
        <v>0</v>
      </c>
      <c r="AQ280" s="73">
        <f t="shared" si="326"/>
        <v>0</v>
      </c>
      <c r="AR280" s="73">
        <f t="shared" si="326"/>
        <v>0</v>
      </c>
      <c r="AS280" s="73">
        <f t="shared" si="326"/>
        <v>0</v>
      </c>
      <c r="AT280" s="73">
        <f t="shared" si="326"/>
        <v>0</v>
      </c>
      <c r="AU280" s="73">
        <f t="shared" si="326"/>
        <v>0</v>
      </c>
      <c r="AV280" s="73">
        <f t="shared" si="326"/>
        <v>0</v>
      </c>
      <c r="AW280" s="73">
        <f t="shared" si="326"/>
        <v>0</v>
      </c>
      <c r="AX280" s="73">
        <f t="shared" si="326"/>
        <v>0</v>
      </c>
      <c r="AY280" s="73">
        <f t="shared" si="326"/>
        <v>0</v>
      </c>
      <c r="AZ280" s="73">
        <f t="shared" si="326"/>
        <v>0</v>
      </c>
      <c r="BA280" s="73">
        <f t="shared" si="326"/>
        <v>0</v>
      </c>
      <c r="BB280" s="73">
        <f t="shared" si="326"/>
        <v>0</v>
      </c>
      <c r="BC280" s="74">
        <f>IFERROR(SUM(AE211:AP211)/SUM(AE279:AP279),0)</f>
        <v>0</v>
      </c>
      <c r="BD280" s="74">
        <f>IFERROR(SUM(AQ211:BB211)/SUM(AQ279:BB279),0)</f>
        <v>0</v>
      </c>
      <c r="BE280" s="2"/>
      <c r="BF280" s="73">
        <f t="shared" ref="BF280:CC280" si="327">IFERROR(BF211/BF279,0)</f>
        <v>0</v>
      </c>
      <c r="BG280" s="73">
        <f t="shared" si="327"/>
        <v>0</v>
      </c>
      <c r="BH280" s="73">
        <f t="shared" si="327"/>
        <v>0</v>
      </c>
      <c r="BI280" s="73">
        <f t="shared" si="327"/>
        <v>0</v>
      </c>
      <c r="BJ280" s="73">
        <f t="shared" si="327"/>
        <v>0</v>
      </c>
      <c r="BK280" s="73">
        <f t="shared" si="327"/>
        <v>0</v>
      </c>
      <c r="BL280" s="73">
        <f t="shared" si="327"/>
        <v>0</v>
      </c>
      <c r="BM280" s="73">
        <f t="shared" si="327"/>
        <v>0</v>
      </c>
      <c r="BN280" s="73">
        <f t="shared" si="327"/>
        <v>0</v>
      </c>
      <c r="BO280" s="73">
        <f t="shared" si="327"/>
        <v>0</v>
      </c>
      <c r="BP280" s="73">
        <f t="shared" si="327"/>
        <v>0</v>
      </c>
      <c r="BQ280" s="73">
        <f t="shared" si="327"/>
        <v>0</v>
      </c>
      <c r="BR280" s="73">
        <f t="shared" si="327"/>
        <v>0</v>
      </c>
      <c r="BS280" s="73">
        <f t="shared" si="327"/>
        <v>0</v>
      </c>
      <c r="BT280" s="73">
        <f t="shared" si="327"/>
        <v>0</v>
      </c>
      <c r="BU280" s="73">
        <f t="shared" si="327"/>
        <v>0</v>
      </c>
      <c r="BV280" s="73">
        <f t="shared" si="327"/>
        <v>0</v>
      </c>
      <c r="BW280" s="73">
        <f t="shared" si="327"/>
        <v>0</v>
      </c>
      <c r="BX280" s="73">
        <f t="shared" si="327"/>
        <v>0</v>
      </c>
      <c r="BY280" s="73">
        <f t="shared" si="327"/>
        <v>0</v>
      </c>
      <c r="BZ280" s="73">
        <f t="shared" si="327"/>
        <v>0</v>
      </c>
      <c r="CA280" s="73">
        <f t="shared" si="327"/>
        <v>0</v>
      </c>
      <c r="CB280" s="73">
        <f t="shared" si="327"/>
        <v>0</v>
      </c>
      <c r="CC280" s="73">
        <f t="shared" si="327"/>
        <v>0</v>
      </c>
      <c r="CD280" s="74">
        <f>IFERROR(SUM(BF211:BQ211)/SUM(BF279:BQ279),0)</f>
        <v>0</v>
      </c>
      <c r="CE280" s="74">
        <f>IFERROR(SUM(BR211:CC211)/SUM(BR279:CC279),0)</f>
        <v>0</v>
      </c>
      <c r="CF280" s="2"/>
      <c r="CG280" s="73">
        <f t="shared" ref="CG280:DD280" si="328">IFERROR(CG211/CG279,0)</f>
        <v>0</v>
      </c>
      <c r="CH280" s="73">
        <f t="shared" si="328"/>
        <v>0</v>
      </c>
      <c r="CI280" s="73">
        <f t="shared" si="328"/>
        <v>0</v>
      </c>
      <c r="CJ280" s="73">
        <f t="shared" si="328"/>
        <v>0</v>
      </c>
      <c r="CK280" s="73">
        <f t="shared" si="328"/>
        <v>0</v>
      </c>
      <c r="CL280" s="73">
        <f t="shared" si="328"/>
        <v>0</v>
      </c>
      <c r="CM280" s="73">
        <f t="shared" si="328"/>
        <v>0</v>
      </c>
      <c r="CN280" s="73">
        <f t="shared" si="328"/>
        <v>0</v>
      </c>
      <c r="CO280" s="73">
        <f t="shared" si="328"/>
        <v>0</v>
      </c>
      <c r="CP280" s="73">
        <f t="shared" si="328"/>
        <v>0</v>
      </c>
      <c r="CQ280" s="73">
        <f t="shared" si="328"/>
        <v>0</v>
      </c>
      <c r="CR280" s="73">
        <f t="shared" si="328"/>
        <v>0</v>
      </c>
      <c r="CS280" s="73">
        <f t="shared" si="328"/>
        <v>0</v>
      </c>
      <c r="CT280" s="73">
        <f t="shared" si="328"/>
        <v>0</v>
      </c>
      <c r="CU280" s="73">
        <f t="shared" si="328"/>
        <v>0</v>
      </c>
      <c r="CV280" s="73">
        <f t="shared" si="328"/>
        <v>0</v>
      </c>
      <c r="CW280" s="73">
        <f t="shared" si="328"/>
        <v>0</v>
      </c>
      <c r="CX280" s="73">
        <f t="shared" si="328"/>
        <v>0</v>
      </c>
      <c r="CY280" s="73">
        <f t="shared" si="328"/>
        <v>0</v>
      </c>
      <c r="CZ280" s="73">
        <f t="shared" si="328"/>
        <v>0</v>
      </c>
      <c r="DA280" s="73">
        <f t="shared" si="328"/>
        <v>0</v>
      </c>
      <c r="DB280" s="73">
        <f t="shared" si="328"/>
        <v>0</v>
      </c>
      <c r="DC280" s="73">
        <f t="shared" si="328"/>
        <v>0</v>
      </c>
      <c r="DD280" s="73">
        <f t="shared" si="328"/>
        <v>0</v>
      </c>
      <c r="DE280" s="74">
        <f>IFERROR(SUM(CG211:CR211)/SUM(CG279:CR279),0)</f>
        <v>0</v>
      </c>
      <c r="DF280" s="74">
        <f>IFERROR(SUM(CS211:DD211)/SUM(CS279:DD279),0)</f>
        <v>0</v>
      </c>
      <c r="DG280"/>
      <c r="DH280"/>
    </row>
    <row r="281" spans="1:112" hidden="1" x14ac:dyDescent="0.2">
      <c r="A281" s="2"/>
      <c r="B281" s="35" t="s">
        <v>202</v>
      </c>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73">
        <f t="shared" ref="AE281:BB281" si="329">IFERROR((AE238+AE240)/AE279,0)</f>
        <v>0</v>
      </c>
      <c r="AF281" s="73">
        <f t="shared" si="329"/>
        <v>0</v>
      </c>
      <c r="AG281" s="73">
        <f t="shared" si="329"/>
        <v>0</v>
      </c>
      <c r="AH281" s="73">
        <f t="shared" si="329"/>
        <v>0</v>
      </c>
      <c r="AI281" s="73">
        <f t="shared" si="329"/>
        <v>0</v>
      </c>
      <c r="AJ281" s="73">
        <f t="shared" si="329"/>
        <v>0</v>
      </c>
      <c r="AK281" s="73">
        <f t="shared" si="329"/>
        <v>0</v>
      </c>
      <c r="AL281" s="73">
        <f t="shared" si="329"/>
        <v>0</v>
      </c>
      <c r="AM281" s="73">
        <f t="shared" si="329"/>
        <v>0</v>
      </c>
      <c r="AN281" s="73">
        <f t="shared" si="329"/>
        <v>0</v>
      </c>
      <c r="AO281" s="73">
        <f t="shared" si="329"/>
        <v>0</v>
      </c>
      <c r="AP281" s="73">
        <f t="shared" si="329"/>
        <v>0</v>
      </c>
      <c r="AQ281" s="73">
        <f t="shared" si="329"/>
        <v>0</v>
      </c>
      <c r="AR281" s="73">
        <f t="shared" si="329"/>
        <v>0</v>
      </c>
      <c r="AS281" s="73">
        <f t="shared" si="329"/>
        <v>0</v>
      </c>
      <c r="AT281" s="73">
        <f t="shared" si="329"/>
        <v>0</v>
      </c>
      <c r="AU281" s="73">
        <f t="shared" si="329"/>
        <v>0</v>
      </c>
      <c r="AV281" s="73">
        <f t="shared" si="329"/>
        <v>0</v>
      </c>
      <c r="AW281" s="73">
        <f t="shared" si="329"/>
        <v>0</v>
      </c>
      <c r="AX281" s="73">
        <f t="shared" si="329"/>
        <v>0</v>
      </c>
      <c r="AY281" s="73">
        <f t="shared" si="329"/>
        <v>0</v>
      </c>
      <c r="AZ281" s="73">
        <f t="shared" si="329"/>
        <v>0</v>
      </c>
      <c r="BA281" s="73">
        <f t="shared" si="329"/>
        <v>0</v>
      </c>
      <c r="BB281" s="73">
        <f t="shared" si="329"/>
        <v>0</v>
      </c>
      <c r="BC281" s="73">
        <f>IFERROR((SUM(AE238:AP238)+SUM(AE240:AP240))/SUM(AE279:AP279),0)</f>
        <v>0</v>
      </c>
      <c r="BD281" s="73">
        <f>IFERROR((SUM(AQ238:BB238)+SUM(AQ240:BB240))/SUM(AQ279:BB279),0)</f>
        <v>0</v>
      </c>
      <c r="BE281" s="2"/>
      <c r="BF281" s="73">
        <f t="shared" ref="BF281:CC281" si="330">IFERROR((BF238+BF240)/BF279,0)</f>
        <v>0</v>
      </c>
      <c r="BG281" s="73">
        <f t="shared" si="330"/>
        <v>0</v>
      </c>
      <c r="BH281" s="73">
        <f t="shared" si="330"/>
        <v>0</v>
      </c>
      <c r="BI281" s="73">
        <f t="shared" si="330"/>
        <v>0</v>
      </c>
      <c r="BJ281" s="73">
        <f t="shared" si="330"/>
        <v>0</v>
      </c>
      <c r="BK281" s="73">
        <f t="shared" si="330"/>
        <v>0</v>
      </c>
      <c r="BL281" s="73">
        <f t="shared" si="330"/>
        <v>0</v>
      </c>
      <c r="BM281" s="73">
        <f t="shared" si="330"/>
        <v>0</v>
      </c>
      <c r="BN281" s="73">
        <f t="shared" si="330"/>
        <v>0</v>
      </c>
      <c r="BO281" s="73">
        <f t="shared" si="330"/>
        <v>0</v>
      </c>
      <c r="BP281" s="73">
        <f t="shared" si="330"/>
        <v>0</v>
      </c>
      <c r="BQ281" s="73">
        <f t="shared" si="330"/>
        <v>0</v>
      </c>
      <c r="BR281" s="73">
        <f t="shared" si="330"/>
        <v>0</v>
      </c>
      <c r="BS281" s="73">
        <f t="shared" si="330"/>
        <v>0</v>
      </c>
      <c r="BT281" s="73">
        <f t="shared" si="330"/>
        <v>0</v>
      </c>
      <c r="BU281" s="73">
        <f t="shared" si="330"/>
        <v>0</v>
      </c>
      <c r="BV281" s="73">
        <f t="shared" si="330"/>
        <v>0</v>
      </c>
      <c r="BW281" s="73">
        <f t="shared" si="330"/>
        <v>0</v>
      </c>
      <c r="BX281" s="73">
        <f t="shared" si="330"/>
        <v>0</v>
      </c>
      <c r="BY281" s="73">
        <f t="shared" si="330"/>
        <v>0</v>
      </c>
      <c r="BZ281" s="73">
        <f t="shared" si="330"/>
        <v>0</v>
      </c>
      <c r="CA281" s="73">
        <f t="shared" si="330"/>
        <v>0</v>
      </c>
      <c r="CB281" s="73">
        <f t="shared" si="330"/>
        <v>0</v>
      </c>
      <c r="CC281" s="73">
        <f t="shared" si="330"/>
        <v>0</v>
      </c>
      <c r="CD281" s="73">
        <f>IFERROR((SUM(BF238:BQ238)+SUM(BF240:BQ240))/SUM(BF279:BQ279),0)</f>
        <v>0</v>
      </c>
      <c r="CE281" s="73">
        <f>IFERROR((SUM(BR238:CC238)+SUM(BR240:CC240))/SUM(BR279:CC279),0)</f>
        <v>0</v>
      </c>
      <c r="CF281" s="2"/>
      <c r="CG281" s="73">
        <f t="shared" ref="CG281:DD281" si="331">IFERROR((CG238+CG240)/CG279,0)</f>
        <v>0</v>
      </c>
      <c r="CH281" s="73">
        <f t="shared" si="331"/>
        <v>0</v>
      </c>
      <c r="CI281" s="73">
        <f t="shared" si="331"/>
        <v>0</v>
      </c>
      <c r="CJ281" s="73">
        <f t="shared" si="331"/>
        <v>0</v>
      </c>
      <c r="CK281" s="73">
        <f t="shared" si="331"/>
        <v>0</v>
      </c>
      <c r="CL281" s="73">
        <f t="shared" si="331"/>
        <v>0</v>
      </c>
      <c r="CM281" s="73">
        <f t="shared" si="331"/>
        <v>0</v>
      </c>
      <c r="CN281" s="73">
        <f t="shared" si="331"/>
        <v>0</v>
      </c>
      <c r="CO281" s="73">
        <f t="shared" si="331"/>
        <v>0</v>
      </c>
      <c r="CP281" s="73">
        <f t="shared" si="331"/>
        <v>0</v>
      </c>
      <c r="CQ281" s="73">
        <f t="shared" si="331"/>
        <v>0</v>
      </c>
      <c r="CR281" s="73">
        <f t="shared" si="331"/>
        <v>0</v>
      </c>
      <c r="CS281" s="73">
        <f t="shared" si="331"/>
        <v>0</v>
      </c>
      <c r="CT281" s="73">
        <f t="shared" si="331"/>
        <v>0</v>
      </c>
      <c r="CU281" s="73">
        <f t="shared" si="331"/>
        <v>0</v>
      </c>
      <c r="CV281" s="73">
        <f t="shared" si="331"/>
        <v>0</v>
      </c>
      <c r="CW281" s="73">
        <f t="shared" si="331"/>
        <v>0</v>
      </c>
      <c r="CX281" s="73">
        <f t="shared" si="331"/>
        <v>0</v>
      </c>
      <c r="CY281" s="73">
        <f t="shared" si="331"/>
        <v>0</v>
      </c>
      <c r="CZ281" s="73">
        <f t="shared" si="331"/>
        <v>0</v>
      </c>
      <c r="DA281" s="73">
        <f t="shared" si="331"/>
        <v>0</v>
      </c>
      <c r="DB281" s="73">
        <f t="shared" si="331"/>
        <v>0</v>
      </c>
      <c r="DC281" s="73">
        <f t="shared" si="331"/>
        <v>0</v>
      </c>
      <c r="DD281" s="73">
        <f t="shared" si="331"/>
        <v>0</v>
      </c>
      <c r="DE281" s="73">
        <f>IFERROR((SUM(CG238:CR238)+SUM(CG240:CR240))/SUM(CG279:CR279),0)</f>
        <v>0</v>
      </c>
      <c r="DF281" s="73">
        <f>IFERROR((SUM(CS238:DD238)+SUM(CS240:DD240))/SUM(CS279:DD279),0)</f>
        <v>0</v>
      </c>
      <c r="DG281"/>
      <c r="DH281"/>
    </row>
    <row r="282" spans="1:112" hidden="1" x14ac:dyDescent="0.2">
      <c r="A282" s="2"/>
      <c r="B282" s="35" t="s">
        <v>403</v>
      </c>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73">
        <f>IFERROR(AE261/(AE211*12),0)</f>
        <v>0</v>
      </c>
      <c r="AF282" s="73">
        <f>IFERROR(AF261/(SUM(AE211:AF211)*12/2),0)</f>
        <v>0</v>
      </c>
      <c r="AG282" s="73">
        <f>IFERROR(AG261/(SUM(AE211:AG211)*12/3),0)</f>
        <v>0</v>
      </c>
      <c r="AH282" s="73">
        <f>IFERROR(AH261/(SUM(AE211:AH211)*12/4),0)</f>
        <v>0</v>
      </c>
      <c r="AI282" s="73">
        <f>IFERROR(AI261/(SUM(AE211:AI211)*12/5),0)</f>
        <v>0</v>
      </c>
      <c r="AJ282" s="73">
        <f>IFERROR(AJ261/(SUM(AE211:AJ211)*12/6),0)</f>
        <v>0</v>
      </c>
      <c r="AK282" s="73">
        <f>IFERROR(AK261/(SUM(AE211:AK211)*12/7),0)</f>
        <v>0</v>
      </c>
      <c r="AL282" s="73">
        <f>IFERROR(AL261/(SUM(AE211:AL211)*12/8),0)</f>
        <v>0</v>
      </c>
      <c r="AM282" s="73">
        <f>IFERROR(AM261/(SUM(AE211:AM211)*12/9),0)</f>
        <v>0</v>
      </c>
      <c r="AN282" s="73">
        <f>IFERROR(AN261/(SUM(AE211:AN211)*12/10),0)</f>
        <v>0</v>
      </c>
      <c r="AO282" s="73">
        <f>IFERROR(AO261/(SUM(AE211:AO211)*12/11),0)</f>
        <v>0</v>
      </c>
      <c r="AP282" s="73">
        <f>IFERROR(AP261/(SUM(AE211:AP211)*12/12),0)</f>
        <v>0</v>
      </c>
      <c r="AQ282" s="73">
        <f t="shared" ref="AQ282:BB282" si="332">IFERROR(AQ261/SUM(AF211:AQ211),0)</f>
        <v>0</v>
      </c>
      <c r="AR282" s="73">
        <f t="shared" si="332"/>
        <v>0</v>
      </c>
      <c r="AS282" s="73">
        <f t="shared" si="332"/>
        <v>0</v>
      </c>
      <c r="AT282" s="73">
        <f t="shared" si="332"/>
        <v>0</v>
      </c>
      <c r="AU282" s="73">
        <f t="shared" si="332"/>
        <v>0</v>
      </c>
      <c r="AV282" s="73">
        <f t="shared" si="332"/>
        <v>0</v>
      </c>
      <c r="AW282" s="73">
        <f t="shared" si="332"/>
        <v>0</v>
      </c>
      <c r="AX282" s="73">
        <f t="shared" si="332"/>
        <v>0</v>
      </c>
      <c r="AY282" s="73">
        <f t="shared" si="332"/>
        <v>0</v>
      </c>
      <c r="AZ282" s="73">
        <f t="shared" si="332"/>
        <v>0</v>
      </c>
      <c r="BA282" s="73">
        <f t="shared" si="332"/>
        <v>0</v>
      </c>
      <c r="BB282" s="73">
        <f t="shared" si="332"/>
        <v>0</v>
      </c>
      <c r="BC282" s="73">
        <f>IFERROR(AP261/SUM(AE211:AP211),0)</f>
        <v>0</v>
      </c>
      <c r="BD282" s="73">
        <f>IFERROR(BB261/SUM(AQ211:BB211),0)</f>
        <v>0</v>
      </c>
      <c r="BE282" s="2"/>
      <c r="BF282" s="73">
        <f>IFERROR(BF261/(BF211*12),0)</f>
        <v>0</v>
      </c>
      <c r="BG282" s="73">
        <f>IFERROR(BG261/(SUM(BF211:BG211)*12/2),0)</f>
        <v>0</v>
      </c>
      <c r="BH282" s="73">
        <f>IFERROR(BH261/(SUM(BF211:BH211)*12/3),0)</f>
        <v>0</v>
      </c>
      <c r="BI282" s="73">
        <f>IFERROR(BI261/(SUM(BF211:BI211)*12/4),0)</f>
        <v>0</v>
      </c>
      <c r="BJ282" s="73">
        <f>IFERROR(BJ261/(SUM(BF211:BJ211)*12/5),0)</f>
        <v>0</v>
      </c>
      <c r="BK282" s="73">
        <f>IFERROR(BK261/(SUM(BF211:BK211)*12/6),0)</f>
        <v>0</v>
      </c>
      <c r="BL282" s="73">
        <f>IFERROR(BL261/(SUM(BF211:BL211)*12/7),0)</f>
        <v>0</v>
      </c>
      <c r="BM282" s="73">
        <f>IFERROR(BM261/(SUM(BF211:BM211)*12/8),0)</f>
        <v>0</v>
      </c>
      <c r="BN282" s="73">
        <f>IFERROR(BN261/(SUM(BF211:BN211)*12/9),0)</f>
        <v>0</v>
      </c>
      <c r="BO282" s="73">
        <f>IFERROR(BO261/(SUM(BF211:BO211)*12/10),0)</f>
        <v>0</v>
      </c>
      <c r="BP282" s="73">
        <f>IFERROR(BP261/(SUM(BF211:BP211)*12/11),0)</f>
        <v>0</v>
      </c>
      <c r="BQ282" s="73">
        <f>IFERROR(BQ261/(SUM(BF211:BQ211)*12/12),0)</f>
        <v>0</v>
      </c>
      <c r="BR282" s="73">
        <f t="shared" ref="BR282:CC282" si="333">IFERROR(BR261/SUM(BG211:BR211),0)</f>
        <v>0</v>
      </c>
      <c r="BS282" s="73">
        <f t="shared" si="333"/>
        <v>0</v>
      </c>
      <c r="BT282" s="73">
        <f t="shared" si="333"/>
        <v>0</v>
      </c>
      <c r="BU282" s="73">
        <f t="shared" si="333"/>
        <v>0</v>
      </c>
      <c r="BV282" s="73">
        <f t="shared" si="333"/>
        <v>0</v>
      </c>
      <c r="BW282" s="73">
        <f t="shared" si="333"/>
        <v>0</v>
      </c>
      <c r="BX282" s="73">
        <f t="shared" si="333"/>
        <v>0</v>
      </c>
      <c r="BY282" s="73">
        <f t="shared" si="333"/>
        <v>0</v>
      </c>
      <c r="BZ282" s="73">
        <f t="shared" si="333"/>
        <v>0</v>
      </c>
      <c r="CA282" s="73">
        <f t="shared" si="333"/>
        <v>0</v>
      </c>
      <c r="CB282" s="73">
        <f t="shared" si="333"/>
        <v>0</v>
      </c>
      <c r="CC282" s="73">
        <f t="shared" si="333"/>
        <v>0</v>
      </c>
      <c r="CD282" s="73">
        <f>IFERROR(BQ261/SUM(BF211:BQ211),0)</f>
        <v>0</v>
      </c>
      <c r="CE282" s="73">
        <f>IFERROR(CC261/SUM(BR211:CC211),0)</f>
        <v>0</v>
      </c>
      <c r="CF282" s="2"/>
      <c r="CG282" s="73">
        <f>IFERROR(CG261/(CG211*12),0)</f>
        <v>0</v>
      </c>
      <c r="CH282" s="73">
        <f>IFERROR(CH261/(SUM(CG211:CH211)*12/2),0)</f>
        <v>0</v>
      </c>
      <c r="CI282" s="73">
        <f>IFERROR(CI261/(SUM(CG211:CI211)*12/3),0)</f>
        <v>0</v>
      </c>
      <c r="CJ282" s="73">
        <f>IFERROR(CJ261/(SUM(CG211:CJ211)*12/4),0)</f>
        <v>0</v>
      </c>
      <c r="CK282" s="73">
        <f>IFERROR(CK261/(SUM(CG211:CK211)*12/5),0)</f>
        <v>0</v>
      </c>
      <c r="CL282" s="73">
        <f>IFERROR(CL261/(SUM(CG211:CL211)*12/6),0)</f>
        <v>0</v>
      </c>
      <c r="CM282" s="73">
        <f>IFERROR(CM261/(SUM(CG211:CM211)*12/7),0)</f>
        <v>0</v>
      </c>
      <c r="CN282" s="73">
        <f>IFERROR(CN261/(SUM(CG211:CN211)*12/8),0)</f>
        <v>0</v>
      </c>
      <c r="CO282" s="73">
        <f>IFERROR(CO261/(SUM(CG211:CO211)*12/9),0)</f>
        <v>0</v>
      </c>
      <c r="CP282" s="73">
        <f>IFERROR(CP261/(SUM(CG211:CP211)*12/10),0)</f>
        <v>0</v>
      </c>
      <c r="CQ282" s="73">
        <f>IFERROR(CQ261/(SUM(CG211:CQ211)*12/11),0)</f>
        <v>0</v>
      </c>
      <c r="CR282" s="73">
        <f>IFERROR(CR261/(SUM(CG211:CR211)*12/12),0)</f>
        <v>0</v>
      </c>
      <c r="CS282" s="73">
        <f t="shared" ref="CS282:DD282" si="334">IFERROR(CS261/SUM(CH211:CS211),0)</f>
        <v>0</v>
      </c>
      <c r="CT282" s="73">
        <f t="shared" si="334"/>
        <v>0</v>
      </c>
      <c r="CU282" s="73">
        <f t="shared" si="334"/>
        <v>0</v>
      </c>
      <c r="CV282" s="73">
        <f t="shared" si="334"/>
        <v>0</v>
      </c>
      <c r="CW282" s="73">
        <f t="shared" si="334"/>
        <v>0</v>
      </c>
      <c r="CX282" s="73">
        <f t="shared" si="334"/>
        <v>0</v>
      </c>
      <c r="CY282" s="73">
        <f t="shared" si="334"/>
        <v>0</v>
      </c>
      <c r="CZ282" s="73">
        <f t="shared" si="334"/>
        <v>0</v>
      </c>
      <c r="DA282" s="73">
        <f t="shared" si="334"/>
        <v>0</v>
      </c>
      <c r="DB282" s="73">
        <f t="shared" si="334"/>
        <v>0</v>
      </c>
      <c r="DC282" s="73">
        <f t="shared" si="334"/>
        <v>0</v>
      </c>
      <c r="DD282" s="73">
        <f t="shared" si="334"/>
        <v>0</v>
      </c>
      <c r="DE282" s="73">
        <f>IFERROR(CR261/SUM(CG211:CR211),0)</f>
        <v>0</v>
      </c>
      <c r="DF282" s="73">
        <f>IFERROR(DD261/SUM(CS211:DD211),0)</f>
        <v>0</v>
      </c>
      <c r="DG282"/>
      <c r="DH282"/>
    </row>
    <row r="283" spans="1:112" hidden="1" x14ac:dyDescent="0.2">
      <c r="A283" s="2"/>
      <c r="B283" s="2" t="s">
        <v>404</v>
      </c>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f t="shared" ref="AE283:BB283" si="335">ROUND(AE235-(AE234+AE218-AE233),2)</f>
        <v>0</v>
      </c>
      <c r="AF283" s="2">
        <f t="shared" si="335"/>
        <v>0</v>
      </c>
      <c r="AG283" s="2">
        <f t="shared" si="335"/>
        <v>0</v>
      </c>
      <c r="AH283" s="2">
        <f t="shared" si="335"/>
        <v>0</v>
      </c>
      <c r="AI283" s="2">
        <f t="shared" si="335"/>
        <v>0</v>
      </c>
      <c r="AJ283" s="2">
        <f t="shared" si="335"/>
        <v>0</v>
      </c>
      <c r="AK283" s="2">
        <f t="shared" si="335"/>
        <v>0</v>
      </c>
      <c r="AL283" s="2">
        <f t="shared" si="335"/>
        <v>0</v>
      </c>
      <c r="AM283" s="2">
        <f t="shared" si="335"/>
        <v>0</v>
      </c>
      <c r="AN283" s="2">
        <f t="shared" si="335"/>
        <v>0</v>
      </c>
      <c r="AO283" s="2">
        <f t="shared" si="335"/>
        <v>0</v>
      </c>
      <c r="AP283" s="2">
        <f t="shared" si="335"/>
        <v>0</v>
      </c>
      <c r="AQ283" s="2">
        <f t="shared" si="335"/>
        <v>0</v>
      </c>
      <c r="AR283" s="2">
        <f t="shared" si="335"/>
        <v>0</v>
      </c>
      <c r="AS283" s="2">
        <f t="shared" si="335"/>
        <v>0</v>
      </c>
      <c r="AT283" s="2">
        <f t="shared" si="335"/>
        <v>0</v>
      </c>
      <c r="AU283" s="2">
        <f t="shared" si="335"/>
        <v>0</v>
      </c>
      <c r="AV283" s="2">
        <f t="shared" si="335"/>
        <v>0</v>
      </c>
      <c r="AW283" s="2">
        <f t="shared" si="335"/>
        <v>0</v>
      </c>
      <c r="AX283" s="2">
        <f t="shared" si="335"/>
        <v>0</v>
      </c>
      <c r="AY283" s="2">
        <f t="shared" si="335"/>
        <v>0</v>
      </c>
      <c r="AZ283" s="2">
        <f t="shared" si="335"/>
        <v>0</v>
      </c>
      <c r="BA283" s="2">
        <f t="shared" si="335"/>
        <v>0</v>
      </c>
      <c r="BB283" s="2">
        <f t="shared" si="335"/>
        <v>0</v>
      </c>
      <c r="BC283" s="2"/>
      <c r="BD283" s="2"/>
      <c r="BE283" s="2"/>
      <c r="BF283" s="2">
        <f t="shared" ref="BF283:CC283" si="336">ROUND(BF235-(BF234+BF218-BF233),2)</f>
        <v>0</v>
      </c>
      <c r="BG283" s="2">
        <f t="shared" si="336"/>
        <v>0</v>
      </c>
      <c r="BH283" s="2">
        <f t="shared" si="336"/>
        <v>0</v>
      </c>
      <c r="BI283" s="2">
        <f t="shared" si="336"/>
        <v>0</v>
      </c>
      <c r="BJ283" s="2">
        <f t="shared" si="336"/>
        <v>0</v>
      </c>
      <c r="BK283" s="2">
        <f t="shared" si="336"/>
        <v>0</v>
      </c>
      <c r="BL283" s="2">
        <f t="shared" si="336"/>
        <v>0</v>
      </c>
      <c r="BM283" s="2">
        <f t="shared" si="336"/>
        <v>0</v>
      </c>
      <c r="BN283" s="2">
        <f t="shared" si="336"/>
        <v>0</v>
      </c>
      <c r="BO283" s="2">
        <f t="shared" si="336"/>
        <v>0</v>
      </c>
      <c r="BP283" s="2">
        <f t="shared" si="336"/>
        <v>0</v>
      </c>
      <c r="BQ283" s="2">
        <f t="shared" si="336"/>
        <v>0</v>
      </c>
      <c r="BR283" s="2">
        <f t="shared" si="336"/>
        <v>0</v>
      </c>
      <c r="BS283" s="2">
        <f t="shared" si="336"/>
        <v>0</v>
      </c>
      <c r="BT283" s="2">
        <f t="shared" si="336"/>
        <v>0</v>
      </c>
      <c r="BU283" s="2">
        <f t="shared" si="336"/>
        <v>0</v>
      </c>
      <c r="BV283" s="2">
        <f t="shared" si="336"/>
        <v>0</v>
      </c>
      <c r="BW283" s="2">
        <f t="shared" si="336"/>
        <v>0</v>
      </c>
      <c r="BX283" s="2">
        <f t="shared" si="336"/>
        <v>0</v>
      </c>
      <c r="BY283" s="2">
        <f t="shared" si="336"/>
        <v>0</v>
      </c>
      <c r="BZ283" s="2">
        <f t="shared" si="336"/>
        <v>0</v>
      </c>
      <c r="CA283" s="2">
        <f t="shared" si="336"/>
        <v>0</v>
      </c>
      <c r="CB283" s="2">
        <f t="shared" si="336"/>
        <v>0</v>
      </c>
      <c r="CC283" s="2">
        <f t="shared" si="336"/>
        <v>0</v>
      </c>
      <c r="CD283" s="2"/>
      <c r="CE283" s="2"/>
      <c r="CF283" s="2"/>
      <c r="CG283" s="2">
        <f t="shared" ref="CG283:DD283" si="337">ROUND(CG235-(CG234+CG218-CG233),2)</f>
        <v>0</v>
      </c>
      <c r="CH283" s="2">
        <f t="shared" si="337"/>
        <v>0</v>
      </c>
      <c r="CI283" s="2">
        <f t="shared" si="337"/>
        <v>0</v>
      </c>
      <c r="CJ283" s="2">
        <f t="shared" si="337"/>
        <v>0</v>
      </c>
      <c r="CK283" s="2">
        <f t="shared" si="337"/>
        <v>0</v>
      </c>
      <c r="CL283" s="2">
        <f t="shared" si="337"/>
        <v>0</v>
      </c>
      <c r="CM283" s="2">
        <f t="shared" si="337"/>
        <v>0</v>
      </c>
      <c r="CN283" s="2">
        <f t="shared" si="337"/>
        <v>0</v>
      </c>
      <c r="CO283" s="2">
        <f t="shared" si="337"/>
        <v>0</v>
      </c>
      <c r="CP283" s="2">
        <f t="shared" si="337"/>
        <v>0</v>
      </c>
      <c r="CQ283" s="2">
        <f t="shared" si="337"/>
        <v>0</v>
      </c>
      <c r="CR283" s="2">
        <f t="shared" si="337"/>
        <v>0</v>
      </c>
      <c r="CS283" s="2">
        <f t="shared" si="337"/>
        <v>0</v>
      </c>
      <c r="CT283" s="2">
        <f t="shared" si="337"/>
        <v>0</v>
      </c>
      <c r="CU283" s="2">
        <f t="shared" si="337"/>
        <v>0</v>
      </c>
      <c r="CV283" s="2">
        <f t="shared" si="337"/>
        <v>0</v>
      </c>
      <c r="CW283" s="2">
        <f t="shared" si="337"/>
        <v>0</v>
      </c>
      <c r="CX283" s="2">
        <f t="shared" si="337"/>
        <v>0</v>
      </c>
      <c r="CY283" s="2">
        <f t="shared" si="337"/>
        <v>0</v>
      </c>
      <c r="CZ283" s="2">
        <f t="shared" si="337"/>
        <v>0</v>
      </c>
      <c r="DA283" s="2">
        <f t="shared" si="337"/>
        <v>0</v>
      </c>
      <c r="DB283" s="2">
        <f t="shared" si="337"/>
        <v>0</v>
      </c>
      <c r="DC283" s="2">
        <f t="shared" si="337"/>
        <v>0</v>
      </c>
      <c r="DD283" s="2">
        <f t="shared" si="337"/>
        <v>0</v>
      </c>
      <c r="DE283" s="2"/>
      <c r="DF283" s="2"/>
      <c r="DG283"/>
      <c r="DH283"/>
    </row>
    <row r="284" spans="1:112" hidden="1" x14ac:dyDescent="0.2">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c r="BP284" s="2"/>
      <c r="BQ284" s="2"/>
      <c r="BR284" s="2"/>
      <c r="BS284" s="2"/>
      <c r="BT284" s="2"/>
      <c r="BU284" s="2"/>
      <c r="BV284" s="2"/>
      <c r="BW284" s="2"/>
      <c r="BX284" s="2"/>
      <c r="BY284" s="2"/>
      <c r="BZ284" s="2"/>
      <c r="CA284" s="2"/>
      <c r="CB284" s="2"/>
      <c r="CC284" s="2"/>
      <c r="CD284" s="2"/>
      <c r="CE284" s="2"/>
      <c r="CF284" s="2"/>
      <c r="CG284" s="2"/>
      <c r="CH284" s="2"/>
      <c r="CI284" s="2"/>
      <c r="CJ284" s="2"/>
      <c r="CK284" s="2"/>
      <c r="CL284" s="2"/>
      <c r="CM284" s="2"/>
      <c r="CN284" s="2"/>
      <c r="CO284" s="2"/>
      <c r="CP284" s="2"/>
      <c r="CQ284" s="2"/>
      <c r="CR284" s="2"/>
      <c r="CS284" s="2"/>
      <c r="CT284" s="2"/>
      <c r="CU284" s="2"/>
      <c r="CV284" s="2"/>
      <c r="CW284" s="2"/>
      <c r="CX284" s="2"/>
      <c r="CY284" s="2"/>
      <c r="CZ284" s="2"/>
      <c r="DA284" s="2"/>
      <c r="DB284" s="2"/>
      <c r="DC284" s="2"/>
      <c r="DD284" s="2"/>
      <c r="DE284" s="2"/>
      <c r="DF284" s="2"/>
      <c r="DG284"/>
      <c r="DH284"/>
    </row>
    <row r="285" spans="1:112" hidden="1" x14ac:dyDescent="0.2">
      <c r="A285" s="2"/>
      <c r="B285" s="2"/>
      <c r="C285" s="86" t="s">
        <v>2</v>
      </c>
      <c r="D285" s="86" t="s">
        <v>203</v>
      </c>
      <c r="E285" s="86" t="s">
        <v>204</v>
      </c>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c r="BP285" s="2"/>
      <c r="BQ285" s="2"/>
      <c r="BR285" s="2"/>
      <c r="BS285" s="2"/>
      <c r="BT285" s="2"/>
      <c r="BU285" s="2"/>
      <c r="BV285" s="2"/>
      <c r="BW285" s="2"/>
      <c r="BX285" s="2"/>
      <c r="BY285" s="2"/>
      <c r="BZ285" s="2"/>
      <c r="CA285" s="2"/>
      <c r="CB285" s="2"/>
      <c r="CC285" s="2"/>
      <c r="CD285" s="2"/>
      <c r="CE285" s="2"/>
      <c r="CF285" s="2"/>
      <c r="CG285" s="2"/>
      <c r="CH285" s="2"/>
      <c r="CI285" s="2"/>
      <c r="CJ285" s="2"/>
      <c r="CK285" s="2"/>
      <c r="CL285" s="2"/>
      <c r="CM285" s="2"/>
      <c r="CN285" s="2"/>
      <c r="CO285" s="2"/>
      <c r="CP285" s="2"/>
      <c r="CQ285" s="2"/>
      <c r="CR285" s="2"/>
      <c r="CS285" s="2"/>
      <c r="CT285" s="2"/>
      <c r="CU285" s="2"/>
      <c r="CV285" s="2"/>
      <c r="CW285" s="2"/>
      <c r="CX285" s="2"/>
      <c r="CY285" s="2"/>
      <c r="CZ285" s="2"/>
      <c r="DA285" s="2"/>
      <c r="DB285" s="2"/>
      <c r="DC285" s="2"/>
      <c r="DD285" s="2"/>
      <c r="DE285" s="2"/>
      <c r="DF285" s="2"/>
      <c r="DG285"/>
      <c r="DH285"/>
    </row>
    <row r="286" spans="1:112" hidden="1" x14ac:dyDescent="0.2">
      <c r="A286" s="2"/>
      <c r="B286" s="87" t="s">
        <v>205</v>
      </c>
      <c r="C286" s="88">
        <f>SUM(AE211:AP211)</f>
        <v>0</v>
      </c>
      <c r="D286" s="88">
        <f>SUM(BF211:BQ211)</f>
        <v>0</v>
      </c>
      <c r="E286" s="88">
        <f>SUM(CG211:CR211)</f>
        <v>0</v>
      </c>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c r="BP286" s="2"/>
      <c r="BQ286" s="2"/>
      <c r="BR286" s="2"/>
      <c r="BS286" s="2"/>
      <c r="BT286" s="2"/>
      <c r="BU286" s="2"/>
      <c r="BV286" s="2"/>
      <c r="BW286" s="2"/>
      <c r="BX286" s="2"/>
      <c r="BY286" s="2"/>
      <c r="BZ286" s="2"/>
      <c r="CA286" s="2"/>
      <c r="CB286" s="2"/>
      <c r="CC286" s="2"/>
      <c r="CD286" s="2"/>
      <c r="CE286" s="2"/>
      <c r="CF286" s="2"/>
      <c r="CG286" s="2"/>
      <c r="CH286" s="2"/>
      <c r="CI286" s="2"/>
      <c r="CJ286" s="2"/>
      <c r="CK286" s="2"/>
      <c r="CL286" s="2"/>
      <c r="CM286" s="2"/>
      <c r="CN286" s="2"/>
      <c r="CO286" s="2"/>
      <c r="CP286" s="2"/>
      <c r="CQ286" s="2"/>
      <c r="CR286" s="2"/>
      <c r="CS286" s="2"/>
      <c r="CT286" s="2"/>
      <c r="CU286" s="2"/>
      <c r="CV286" s="2"/>
      <c r="CW286" s="2"/>
      <c r="CX286" s="2"/>
      <c r="CY286" s="2"/>
      <c r="CZ286" s="2"/>
      <c r="DA286" s="2"/>
      <c r="DB286" s="2"/>
      <c r="DC286" s="2"/>
      <c r="DD286" s="2"/>
      <c r="DE286" s="2"/>
      <c r="DF286" s="2"/>
      <c r="DG286"/>
      <c r="DH286"/>
    </row>
    <row r="287" spans="1:112" hidden="1" x14ac:dyDescent="0.2">
      <c r="A287" s="2"/>
      <c r="B287" s="87" t="s">
        <v>206</v>
      </c>
      <c r="C287" s="88">
        <f>AP249</f>
        <v>0</v>
      </c>
      <c r="D287" s="88">
        <f>BQ249</f>
        <v>0</v>
      </c>
      <c r="E287" s="88">
        <f>CR249</f>
        <v>0</v>
      </c>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c r="BP287" s="2"/>
      <c r="BQ287" s="2"/>
      <c r="BR287" s="2"/>
      <c r="BS287" s="2"/>
      <c r="BT287" s="2"/>
      <c r="BU287" s="2"/>
      <c r="BV287" s="2"/>
      <c r="BW287" s="2"/>
      <c r="BX287" s="2"/>
      <c r="BY287" s="2"/>
      <c r="BZ287" s="2"/>
      <c r="CA287" s="2"/>
      <c r="CB287" s="2"/>
      <c r="CC287" s="2"/>
      <c r="CD287" s="2"/>
      <c r="CE287" s="2"/>
      <c r="CF287" s="2"/>
      <c r="CG287" s="2"/>
      <c r="CH287" s="2"/>
      <c r="CI287" s="2"/>
      <c r="CJ287" s="2"/>
      <c r="CK287" s="2"/>
      <c r="CL287" s="2"/>
      <c r="CM287" s="2"/>
      <c r="CN287" s="2"/>
      <c r="CO287" s="2"/>
      <c r="CP287" s="2"/>
      <c r="CQ287" s="2"/>
      <c r="CR287" s="2"/>
      <c r="CS287" s="2"/>
      <c r="CT287" s="2"/>
      <c r="CU287" s="2"/>
      <c r="CV287" s="2"/>
      <c r="CW287" s="2"/>
      <c r="CX287" s="2"/>
      <c r="CY287" s="2"/>
      <c r="CZ287" s="2"/>
      <c r="DA287" s="2"/>
      <c r="DB287" s="2"/>
      <c r="DC287" s="2"/>
      <c r="DD287" s="2"/>
      <c r="DE287" s="2"/>
      <c r="DF287" s="2"/>
      <c r="DG287"/>
      <c r="DH287"/>
    </row>
    <row r="288" spans="1:112" hidden="1" x14ac:dyDescent="0.2">
      <c r="A288" s="2"/>
      <c r="B288" s="87" t="s">
        <v>207</v>
      </c>
      <c r="C288" s="88">
        <f>AP269</f>
        <v>0</v>
      </c>
      <c r="D288" s="88">
        <f>BQ269</f>
        <v>0</v>
      </c>
      <c r="E288" s="88">
        <f>CR269</f>
        <v>0</v>
      </c>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c r="BU288" s="2"/>
      <c r="BV288" s="2"/>
      <c r="BW288" s="2"/>
      <c r="BX288" s="2"/>
      <c r="BY288" s="2"/>
      <c r="BZ288" s="2"/>
      <c r="CA288" s="2"/>
      <c r="CB288" s="2"/>
      <c r="CC288" s="2"/>
      <c r="CD288" s="2"/>
      <c r="CE288" s="2"/>
      <c r="CF288" s="2"/>
      <c r="CG288" s="2"/>
      <c r="CH288" s="2"/>
      <c r="CI288" s="2"/>
      <c r="CJ288" s="2"/>
      <c r="CK288" s="2"/>
      <c r="CL288" s="2"/>
      <c r="CM288" s="2"/>
      <c r="CN288" s="2"/>
      <c r="CO288" s="2"/>
      <c r="CP288" s="2"/>
      <c r="CQ288" s="2"/>
      <c r="CR288" s="2"/>
      <c r="CS288" s="2"/>
      <c r="CT288" s="2"/>
      <c r="CU288" s="2"/>
      <c r="CV288" s="2"/>
      <c r="CW288" s="2"/>
      <c r="CX288" s="2"/>
      <c r="CY288" s="2"/>
      <c r="CZ288" s="2"/>
      <c r="DA288" s="2"/>
      <c r="DB288" s="2"/>
      <c r="DC288" s="2"/>
      <c r="DD288" s="2"/>
      <c r="DE288" s="2"/>
      <c r="DF288" s="2"/>
      <c r="DG288"/>
      <c r="DH288"/>
    </row>
    <row r="289" spans="1:112" x14ac:dyDescent="0.2">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c r="BU289" s="2"/>
      <c r="BV289" s="2"/>
      <c r="BW289" s="2"/>
      <c r="BX289" s="2"/>
      <c r="BY289" s="2"/>
      <c r="BZ289" s="2"/>
      <c r="CA289" s="2"/>
      <c r="CB289" s="2"/>
      <c r="CC289" s="2"/>
      <c r="CD289" s="2"/>
      <c r="CE289" s="2"/>
      <c r="CF289" s="2"/>
      <c r="CG289" s="2"/>
      <c r="CH289" s="2"/>
      <c r="CI289" s="2"/>
      <c r="CJ289" s="2"/>
      <c r="CK289" s="2"/>
      <c r="CL289" s="2"/>
      <c r="CM289" s="2"/>
      <c r="CN289" s="2"/>
      <c r="CO289" s="2"/>
      <c r="CP289" s="2"/>
      <c r="CQ289" s="2"/>
      <c r="CR289" s="2"/>
      <c r="CS289" s="2"/>
      <c r="CT289" s="2"/>
      <c r="CU289" s="2"/>
      <c r="CV289" s="2"/>
      <c r="CW289" s="2"/>
      <c r="CX289" s="2"/>
      <c r="CY289" s="2"/>
      <c r="CZ289" s="2"/>
      <c r="DA289" s="2"/>
      <c r="DB289" s="2"/>
      <c r="DC289" s="2"/>
      <c r="DD289" s="2"/>
      <c r="DE289" s="2"/>
      <c r="DF289" s="2"/>
      <c r="DG289"/>
      <c r="DH289"/>
    </row>
    <row r="290" spans="1:112" x14ac:dyDescent="0.2">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c r="BP290" s="2"/>
      <c r="BQ290" s="2"/>
      <c r="BR290" s="2"/>
      <c r="BS290" s="2"/>
      <c r="BT290" s="2"/>
      <c r="BU290" s="2"/>
      <c r="BV290" s="2"/>
      <c r="BW290" s="2"/>
      <c r="BX290" s="2"/>
      <c r="BY290" s="2"/>
      <c r="BZ290" s="2"/>
      <c r="CA290" s="2"/>
      <c r="CB290" s="2"/>
      <c r="CC290" s="2"/>
      <c r="CD290" s="2"/>
      <c r="CE290" s="2"/>
      <c r="CF290" s="2"/>
      <c r="CG290" s="2"/>
      <c r="CH290" s="2"/>
      <c r="CI290" s="2"/>
      <c r="CJ290" s="2"/>
      <c r="CK290" s="2"/>
      <c r="CL290" s="2"/>
      <c r="CM290" s="2"/>
      <c r="CN290" s="2"/>
      <c r="CO290" s="2"/>
      <c r="CP290" s="2"/>
      <c r="CQ290" s="2"/>
      <c r="CR290" s="2"/>
      <c r="CS290" s="2"/>
      <c r="CT290" s="2"/>
      <c r="CU290" s="2"/>
      <c r="CV290" s="2"/>
      <c r="CW290" s="2"/>
      <c r="CX290" s="2"/>
      <c r="CY290" s="2"/>
      <c r="CZ290" s="2"/>
      <c r="DA290" s="2"/>
      <c r="DB290" s="2"/>
      <c r="DC290" s="2"/>
      <c r="DD290" s="2"/>
      <c r="DE290" s="2"/>
      <c r="DF290" s="2"/>
    </row>
    <row r="291" spans="1:112" hidden="1" x14ac:dyDescent="0.2">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89">
        <f t="shared" ref="AE291:AP291" si="338">CHOOSE($AE$180,AE248,BF248,CG248)</f>
        <v>0</v>
      </c>
      <c r="AF291" s="89">
        <f t="shared" si="338"/>
        <v>0</v>
      </c>
      <c r="AG291" s="89">
        <f t="shared" si="338"/>
        <v>0</v>
      </c>
      <c r="AH291" s="89">
        <f t="shared" si="338"/>
        <v>0</v>
      </c>
      <c r="AI291" s="89">
        <f t="shared" si="338"/>
        <v>0</v>
      </c>
      <c r="AJ291" s="89">
        <f t="shared" si="338"/>
        <v>0</v>
      </c>
      <c r="AK291" s="89">
        <f t="shared" si="338"/>
        <v>0</v>
      </c>
      <c r="AL291" s="89">
        <f t="shared" si="338"/>
        <v>0</v>
      </c>
      <c r="AM291" s="89">
        <f t="shared" si="338"/>
        <v>0</v>
      </c>
      <c r="AN291" s="89">
        <f t="shared" si="338"/>
        <v>0</v>
      </c>
      <c r="AO291" s="89">
        <f t="shared" si="338"/>
        <v>0</v>
      </c>
      <c r="AP291" s="89">
        <f t="shared" si="338"/>
        <v>0</v>
      </c>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c r="BP291" s="2"/>
      <c r="BQ291" s="2"/>
      <c r="BR291" s="2"/>
      <c r="BS291" s="2"/>
      <c r="BT291" s="2"/>
      <c r="BU291" s="2"/>
      <c r="BV291" s="2"/>
      <c r="BW291" s="2"/>
      <c r="BX291" s="2"/>
      <c r="BY291" s="2"/>
      <c r="BZ291" s="2"/>
      <c r="CA291" s="2"/>
      <c r="CB291" s="2"/>
      <c r="CC291" s="2"/>
      <c r="CD291" s="2"/>
      <c r="CE291" s="2"/>
      <c r="CF291" s="2"/>
      <c r="CG291" s="2"/>
      <c r="CH291" s="2"/>
      <c r="CI291" s="2"/>
      <c r="CJ291" s="2"/>
      <c r="CK291" s="2"/>
      <c r="CL291" s="2"/>
      <c r="CM291" s="2"/>
      <c r="CN291" s="2"/>
      <c r="CO291" s="2"/>
      <c r="CP291" s="2"/>
      <c r="CQ291" s="2"/>
      <c r="CR291" s="2"/>
      <c r="CS291" s="2"/>
      <c r="CT291" s="2"/>
      <c r="CU291" s="2"/>
      <c r="CV291" s="2"/>
      <c r="CW291" s="2"/>
      <c r="CX291" s="2"/>
      <c r="CY291" s="2"/>
      <c r="CZ291" s="2"/>
      <c r="DA291" s="2"/>
      <c r="DB291" s="2"/>
      <c r="DC291" s="2"/>
      <c r="DD291" s="2"/>
      <c r="DE291" s="2"/>
      <c r="DF291" s="2"/>
    </row>
    <row r="292" spans="1:112" hidden="1" x14ac:dyDescent="0.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89">
        <f t="shared" ref="AE292:AP292" si="339">CHOOSE($AE$180,AE190,BF190,CG190)</f>
        <v>0</v>
      </c>
      <c r="AF292" s="89">
        <f t="shared" si="339"/>
        <v>0</v>
      </c>
      <c r="AG292" s="89">
        <f t="shared" si="339"/>
        <v>0</v>
      </c>
      <c r="AH292" s="89">
        <f t="shared" si="339"/>
        <v>0</v>
      </c>
      <c r="AI292" s="89">
        <f t="shared" si="339"/>
        <v>0</v>
      </c>
      <c r="AJ292" s="89">
        <f t="shared" si="339"/>
        <v>0</v>
      </c>
      <c r="AK292" s="89">
        <f t="shared" si="339"/>
        <v>0</v>
      </c>
      <c r="AL292" s="89">
        <f t="shared" si="339"/>
        <v>0</v>
      </c>
      <c r="AM292" s="89">
        <f t="shared" si="339"/>
        <v>0</v>
      </c>
      <c r="AN292" s="89">
        <f t="shared" si="339"/>
        <v>0</v>
      </c>
      <c r="AO292" s="89">
        <f t="shared" si="339"/>
        <v>0</v>
      </c>
      <c r="AP292" s="89">
        <f t="shared" si="339"/>
        <v>0</v>
      </c>
      <c r="AQ292" s="2"/>
      <c r="AR292" s="2"/>
      <c r="AS292" s="2"/>
      <c r="AT292" s="2"/>
      <c r="AU292" s="2"/>
      <c r="AV292" s="2"/>
      <c r="AW292" s="2"/>
      <c r="AX292" s="2"/>
      <c r="AY292" s="2"/>
      <c r="AZ292" s="2"/>
      <c r="BA292" s="2"/>
      <c r="BB292" s="2"/>
      <c r="BC292" s="2"/>
      <c r="BD292" s="2"/>
      <c r="BE292" s="2"/>
      <c r="BF292" s="2"/>
      <c r="BG292" s="2"/>
      <c r="BH292" s="2"/>
      <c r="BI292" s="2"/>
      <c r="BJ292" s="2"/>
      <c r="BK292" s="2"/>
      <c r="BL292" s="2"/>
      <c r="BM292" s="2"/>
      <c r="BN292" s="2"/>
      <c r="BO292" s="2"/>
      <c r="BP292" s="2"/>
      <c r="BQ292" s="2"/>
      <c r="BR292" s="2"/>
      <c r="BS292" s="2"/>
      <c r="BT292" s="2"/>
      <c r="BU292" s="2"/>
      <c r="BV292" s="2"/>
      <c r="BW292" s="2"/>
      <c r="BX292" s="2"/>
      <c r="BY292" s="2"/>
      <c r="BZ292" s="2"/>
      <c r="CA292" s="2"/>
      <c r="CB292" s="2"/>
      <c r="CC292" s="2"/>
      <c r="CD292" s="2"/>
      <c r="CE292" s="2"/>
      <c r="CF292" s="2"/>
      <c r="CG292" s="2"/>
      <c r="CH292" s="2"/>
      <c r="CI292" s="2"/>
      <c r="CJ292" s="2"/>
      <c r="CK292" s="2"/>
      <c r="CL292" s="2"/>
      <c r="CM292" s="2"/>
      <c r="CN292" s="2"/>
      <c r="CO292" s="2"/>
      <c r="CP292" s="2"/>
      <c r="CQ292" s="2"/>
      <c r="CR292" s="2"/>
      <c r="CS292" s="2"/>
      <c r="CT292" s="2"/>
      <c r="CU292" s="2"/>
      <c r="CV292" s="2"/>
      <c r="CW292" s="2"/>
      <c r="CX292" s="2"/>
      <c r="CY292" s="2"/>
      <c r="CZ292" s="2"/>
      <c r="DA292" s="2"/>
      <c r="DB292" s="2"/>
      <c r="DC292" s="2"/>
      <c r="DD292" s="2"/>
      <c r="DE292" s="2"/>
      <c r="DF292" s="2"/>
    </row>
    <row r="293" spans="1:112" hidden="1" x14ac:dyDescent="0.2">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89">
        <f t="shared" ref="AE293:AP293" si="340">CHOOSE($AE$180,AE261,BF261,CG261)</f>
        <v>0</v>
      </c>
      <c r="AF293" s="89">
        <f t="shared" si="340"/>
        <v>0</v>
      </c>
      <c r="AG293" s="89">
        <f t="shared" si="340"/>
        <v>0</v>
      </c>
      <c r="AH293" s="89">
        <f t="shared" si="340"/>
        <v>0</v>
      </c>
      <c r="AI293" s="89">
        <f t="shared" si="340"/>
        <v>0</v>
      </c>
      <c r="AJ293" s="89">
        <f t="shared" si="340"/>
        <v>0</v>
      </c>
      <c r="AK293" s="89">
        <f t="shared" si="340"/>
        <v>0</v>
      </c>
      <c r="AL293" s="89">
        <f t="shared" si="340"/>
        <v>0</v>
      </c>
      <c r="AM293" s="89">
        <f t="shared" si="340"/>
        <v>0</v>
      </c>
      <c r="AN293" s="89">
        <f t="shared" si="340"/>
        <v>0</v>
      </c>
      <c r="AO293" s="89">
        <f t="shared" si="340"/>
        <v>0</v>
      </c>
      <c r="AP293" s="89">
        <f t="shared" si="340"/>
        <v>0</v>
      </c>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c r="BU293" s="2"/>
      <c r="BV293" s="2"/>
      <c r="BW293" s="2"/>
      <c r="BX293" s="2"/>
      <c r="BY293" s="2"/>
      <c r="BZ293" s="2"/>
      <c r="CA293" s="2"/>
      <c r="CB293" s="2"/>
      <c r="CC293" s="2"/>
      <c r="CD293" s="2"/>
      <c r="CE293" s="2"/>
      <c r="CF293" s="2"/>
      <c r="CG293" s="2"/>
      <c r="CH293" s="2"/>
      <c r="CI293" s="2"/>
      <c r="CJ293" s="2"/>
      <c r="CK293" s="2"/>
      <c r="CL293" s="2"/>
      <c r="CM293" s="2"/>
      <c r="CN293" s="2"/>
      <c r="CO293" s="2"/>
      <c r="CP293" s="2"/>
      <c r="CQ293" s="2"/>
      <c r="CR293" s="2"/>
      <c r="CS293" s="2"/>
      <c r="CT293" s="2"/>
      <c r="CU293" s="2"/>
      <c r="CV293" s="2"/>
      <c r="CW293" s="2"/>
      <c r="CX293" s="2"/>
      <c r="CY293" s="2"/>
      <c r="CZ293" s="2"/>
      <c r="DA293" s="2"/>
      <c r="DB293" s="2"/>
      <c r="DC293" s="2"/>
      <c r="DD293" s="2"/>
      <c r="DE293" s="2"/>
      <c r="DF293" s="2"/>
    </row>
    <row r="294" spans="1:112" hidden="1" x14ac:dyDescent="0.2">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89">
        <f t="shared" ref="AE294:AP294" si="341">CHOOSE($AE$180,AE269,BF269,CG269)</f>
        <v>0</v>
      </c>
      <c r="AF294" s="89">
        <f t="shared" si="341"/>
        <v>0</v>
      </c>
      <c r="AG294" s="89">
        <f t="shared" si="341"/>
        <v>0</v>
      </c>
      <c r="AH294" s="89">
        <f t="shared" si="341"/>
        <v>0</v>
      </c>
      <c r="AI294" s="89">
        <f t="shared" si="341"/>
        <v>0</v>
      </c>
      <c r="AJ294" s="89">
        <f t="shared" si="341"/>
        <v>0</v>
      </c>
      <c r="AK294" s="89">
        <f t="shared" si="341"/>
        <v>0</v>
      </c>
      <c r="AL294" s="89">
        <f t="shared" si="341"/>
        <v>0</v>
      </c>
      <c r="AM294" s="89">
        <f t="shared" si="341"/>
        <v>0</v>
      </c>
      <c r="AN294" s="89">
        <f t="shared" si="341"/>
        <v>0</v>
      </c>
      <c r="AO294" s="89">
        <f t="shared" si="341"/>
        <v>0</v>
      </c>
      <c r="AP294" s="89">
        <f t="shared" si="341"/>
        <v>0</v>
      </c>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c r="BP294" s="2"/>
      <c r="BQ294" s="2"/>
      <c r="BR294" s="2"/>
      <c r="BS294" s="2"/>
      <c r="BT294" s="2"/>
      <c r="BU294" s="2"/>
      <c r="BV294" s="2"/>
      <c r="BW294" s="2"/>
      <c r="BX294" s="2"/>
      <c r="BY294" s="2"/>
      <c r="BZ294" s="2"/>
      <c r="CA294" s="2"/>
      <c r="CB294" s="2"/>
      <c r="CC294" s="2"/>
      <c r="CD294" s="2"/>
      <c r="CE294" s="2"/>
      <c r="CF294" s="2"/>
      <c r="CG294" s="2"/>
      <c r="CH294" s="2"/>
      <c r="CI294" s="2"/>
      <c r="CJ294" s="2"/>
      <c r="CK294" s="2"/>
      <c r="CL294" s="2"/>
      <c r="CM294" s="2"/>
      <c r="CN294" s="2"/>
      <c r="CO294" s="2"/>
      <c r="CP294" s="2"/>
      <c r="CQ294" s="2"/>
      <c r="CR294" s="2"/>
      <c r="CS294" s="2"/>
      <c r="CT294" s="2"/>
      <c r="CU294" s="2"/>
      <c r="CV294" s="2"/>
      <c r="CW294" s="2"/>
      <c r="CX294" s="2"/>
      <c r="CY294" s="2"/>
      <c r="CZ294" s="2"/>
      <c r="DA294" s="2"/>
      <c r="DB294" s="2"/>
      <c r="DC294" s="2"/>
      <c r="DD294" s="2"/>
      <c r="DE294" s="2"/>
      <c r="DF294" s="2"/>
    </row>
  </sheetData>
  <mergeCells count="87">
    <mergeCell ref="B166:I166"/>
    <mergeCell ref="C165:V165"/>
    <mergeCell ref="I7:N7"/>
    <mergeCell ref="C161:V161"/>
    <mergeCell ref="C45:J45"/>
    <mergeCell ref="B15:AC15"/>
    <mergeCell ref="C154:V154"/>
    <mergeCell ref="C163:V163"/>
    <mergeCell ref="O7:T7"/>
    <mergeCell ref="K43:Q43"/>
    <mergeCell ref="I148:N148"/>
    <mergeCell ref="C42:J42"/>
    <mergeCell ref="I147:N147"/>
    <mergeCell ref="C160:V160"/>
    <mergeCell ref="W159:Z159"/>
    <mergeCell ref="C150:H150"/>
    <mergeCell ref="W156:Z156"/>
    <mergeCell ref="O148:Z148"/>
    <mergeCell ref="W163:Z163"/>
    <mergeCell ref="W160:Z160"/>
    <mergeCell ref="W162:Z162"/>
    <mergeCell ref="W158:Z158"/>
    <mergeCell ref="R46:Z46"/>
    <mergeCell ref="C151:H151"/>
    <mergeCell ref="C158:V158"/>
    <mergeCell ref="O11:T11"/>
    <mergeCell ref="C44:J44"/>
    <mergeCell ref="R43:Z43"/>
    <mergeCell ref="O150:Z150"/>
    <mergeCell ref="C46:J46"/>
    <mergeCell ref="C12:H12"/>
    <mergeCell ref="R45:Z45"/>
    <mergeCell ref="O149:Z149"/>
    <mergeCell ref="I11:N11"/>
    <mergeCell ref="C156:V156"/>
    <mergeCell ref="K42:Q42"/>
    <mergeCell ref="W157:Z157"/>
    <mergeCell ref="C2:Q2"/>
    <mergeCell ref="I151:N151"/>
    <mergeCell ref="O8:T8"/>
    <mergeCell ref="U11:Z11"/>
    <mergeCell ref="I10:N10"/>
    <mergeCell ref="K45:Q45"/>
    <mergeCell ref="I12:N12"/>
    <mergeCell ref="C11:H11"/>
    <mergeCell ref="U12:Z12"/>
    <mergeCell ref="R42:Z42"/>
    <mergeCell ref="C147:H147"/>
    <mergeCell ref="C149:H149"/>
    <mergeCell ref="I149:N149"/>
    <mergeCell ref="O12:T12"/>
    <mergeCell ref="K41:Q41"/>
    <mergeCell ref="R44:Z44"/>
    <mergeCell ref="W165:Z165"/>
    <mergeCell ref="O151:Z151"/>
    <mergeCell ref="C7:H7"/>
    <mergeCell ref="W155:Z155"/>
    <mergeCell ref="C148:H148"/>
    <mergeCell ref="C157:V157"/>
    <mergeCell ref="C162:V162"/>
    <mergeCell ref="W154:Z154"/>
    <mergeCell ref="C159:V159"/>
    <mergeCell ref="I8:N8"/>
    <mergeCell ref="K44:Q44"/>
    <mergeCell ref="C155:V155"/>
    <mergeCell ref="K46:Q46"/>
    <mergeCell ref="W161:Z161"/>
    <mergeCell ref="C43:J43"/>
    <mergeCell ref="I150:N150"/>
    <mergeCell ref="B3:R3"/>
    <mergeCell ref="C9:H9"/>
    <mergeCell ref="U10:Z10"/>
    <mergeCell ref="W3:Y3"/>
    <mergeCell ref="W4:Y4"/>
    <mergeCell ref="W5:Y5"/>
    <mergeCell ref="C10:H10"/>
    <mergeCell ref="O10:T10"/>
    <mergeCell ref="O9:T9"/>
    <mergeCell ref="U7:Z7"/>
    <mergeCell ref="R41:Z41"/>
    <mergeCell ref="B4:R4"/>
    <mergeCell ref="U8:Z8"/>
    <mergeCell ref="O147:Z147"/>
    <mergeCell ref="I9:N9"/>
    <mergeCell ref="C8:H8"/>
    <mergeCell ref="U9:Z9"/>
    <mergeCell ref="C41:J41"/>
  </mergeCells>
  <conditionalFormatting sqref="C165:V165">
    <cfRule type="expression" dxfId="17" priority="3">
      <formula>$C$165="FAIL"</formula>
    </cfRule>
  </conditionalFormatting>
  <conditionalFormatting sqref="C135:Z135">
    <cfRule type="cellIs" dxfId="16" priority="7" operator="lessThan">
      <formula>0</formula>
    </cfRule>
  </conditionalFormatting>
  <conditionalFormatting sqref="C144:AC144">
    <cfRule type="cellIs" dxfId="15" priority="4" operator="lessThan">
      <formula>0</formula>
    </cfRule>
    <cfRule type="expression" dxfId="14" priority="5">
      <formula>AND(C144&gt;=0,C144&lt;0.1)</formula>
    </cfRule>
    <cfRule type="cellIs" dxfId="13" priority="6" operator="greaterThanOrEqual">
      <formula>0.1</formula>
    </cfRule>
  </conditionalFormatting>
  <conditionalFormatting sqref="W3">
    <cfRule type="cellIs" dxfId="12" priority="8" operator="equal">
      <formula>"Upside"</formula>
    </cfRule>
    <cfRule type="cellIs" dxfId="11" priority="9" operator="equal">
      <formula>"Downside"</formula>
    </cfRule>
  </conditionalFormatting>
  <conditionalFormatting sqref="W155:Z163">
    <cfRule type="expression" dxfId="10" priority="1">
      <formula>W155="PASS"</formula>
    </cfRule>
    <cfRule type="expression" dxfId="9" priority="2">
      <formula>W155="FAIL"</formula>
    </cfRule>
  </conditionalFormatting>
  <dataValidations count="3">
    <dataValidation type="list" sqref="W3" xr:uid="{00000000-0002-0000-0000-000000000000}">
      <formula1>"Base,Downside,Upside"</formula1>
    </dataValidation>
    <dataValidation type="list" sqref="W4" xr:uid="{00000000-0002-0000-0000-000001000000}">
      <formula1>"Income Statement,Cash Flow,Balance Sheet,All Three"</formula1>
    </dataValidation>
    <dataValidation type="list" sqref="W5" xr:uid="{00000000-0002-0000-0000-000002000000}">
      <formula1>"12 months,24 months"</formula1>
    </dataValidation>
  </dataValidations>
  <hyperlinks>
    <hyperlink ref="B166" r:id="rId1" tooltip="Book a fit call · Infraxus" xr:uid="{AC6A9E9A-E8C7-134A-B4CA-0D4BF8A66E4B}"/>
  </hyperlinks>
  <printOptions horizontalCentered="1"/>
  <pageMargins left="0.4" right="0.4" top="0.5" bottom="0.5" header="0.3" footer="0.3"/>
  <pageSetup scale="55" fitToWidth="0" fitToHeight="0" orientation="landscape"/>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C8F33E-277A-B94F-BCDA-0F20E491D397}">
  <sheetPr>
    <tabColor rgb="FF8896B3"/>
    <pageSetUpPr fitToPage="1"/>
  </sheetPr>
  <dimension ref="A1:AQ131"/>
  <sheetViews>
    <sheetView showGridLines="0" workbookViewId="0">
      <pane ySplit="6" topLeftCell="A7" activePane="bottomLeft" state="frozen"/>
      <selection pane="bottomLeft" activeCell="AE10" sqref="AE10"/>
    </sheetView>
  </sheetViews>
  <sheetFormatPr baseColWidth="10" defaultColWidth="8.83203125" defaultRowHeight="15" x14ac:dyDescent="0.2"/>
  <cols>
    <col min="1" max="1" width="1.5" style="5" customWidth="1"/>
    <col min="2" max="2" width="40" style="5" customWidth="1"/>
    <col min="3" max="3" width="14" style="5" customWidth="1"/>
    <col min="4" max="4" width="36" style="5" customWidth="1"/>
    <col min="5" max="28" width="10" style="5" customWidth="1"/>
    <col min="29" max="29" width="13" style="5" customWidth="1"/>
    <col min="30" max="30" width="2" style="5" customWidth="1"/>
    <col min="31" max="16384" width="8.83203125" style="5"/>
  </cols>
  <sheetData>
    <row r="1" spans="1:43" ht="8" customHeight="1" x14ac:dyDescent="0.2">
      <c r="A1" s="1"/>
      <c r="B1" s="1"/>
      <c r="C1" s="1"/>
      <c r="D1" s="1"/>
      <c r="E1" s="1"/>
      <c r="F1" s="1"/>
      <c r="G1" s="1"/>
      <c r="H1" s="1"/>
      <c r="I1" s="1"/>
      <c r="J1" s="1"/>
      <c r="K1" s="1"/>
      <c r="L1" s="1"/>
      <c r="M1" s="1"/>
      <c r="N1" s="1"/>
      <c r="O1" s="1"/>
      <c r="P1" s="1"/>
      <c r="Q1" s="1"/>
      <c r="R1" s="1"/>
      <c r="S1" s="1"/>
      <c r="T1" s="1"/>
      <c r="U1" s="1"/>
      <c r="V1" s="1"/>
      <c r="W1" s="1"/>
      <c r="X1" s="1"/>
      <c r="Y1" s="1"/>
      <c r="Z1" s="1"/>
      <c r="AA1" s="1"/>
      <c r="AB1" s="1"/>
      <c r="AC1" s="1"/>
      <c r="AD1" s="2"/>
      <c r="AE1" s="2"/>
      <c r="AF1" s="2"/>
      <c r="AG1" s="2"/>
      <c r="AH1" s="2"/>
      <c r="AI1" s="2"/>
      <c r="AJ1" s="2"/>
      <c r="AK1" s="2"/>
      <c r="AL1" s="2"/>
      <c r="AM1" s="2"/>
      <c r="AN1" s="2"/>
      <c r="AO1" s="2"/>
      <c r="AP1" s="2"/>
      <c r="AQ1" s="2"/>
    </row>
    <row r="2" spans="1:43" ht="22" customHeight="1" x14ac:dyDescent="0.2">
      <c r="A2" s="1"/>
      <c r="B2" s="1"/>
      <c r="C2" s="109" t="s">
        <v>208</v>
      </c>
      <c r="D2" s="104"/>
      <c r="E2" s="104"/>
      <c r="F2" s="104"/>
      <c r="G2" s="104"/>
      <c r="H2" s="104"/>
      <c r="I2" s="104"/>
      <c r="J2" s="104"/>
      <c r="K2" s="104"/>
      <c r="L2" s="104"/>
      <c r="M2" s="104"/>
      <c r="N2" s="104"/>
      <c r="O2" s="104"/>
      <c r="P2" s="104"/>
      <c r="Q2" s="104"/>
      <c r="R2" s="1"/>
      <c r="S2" s="1"/>
      <c r="T2" s="1"/>
      <c r="U2" s="1"/>
      <c r="V2" s="1"/>
      <c r="W2" s="1"/>
      <c r="X2" s="1"/>
      <c r="Y2" s="1"/>
      <c r="Z2" s="1"/>
      <c r="AA2" s="1"/>
      <c r="AB2" s="1"/>
      <c r="AC2" s="3"/>
      <c r="AD2" s="2"/>
      <c r="AE2" s="2"/>
      <c r="AF2" s="2"/>
      <c r="AG2" s="2"/>
      <c r="AH2" s="2"/>
      <c r="AI2" s="2"/>
      <c r="AJ2" s="2"/>
      <c r="AK2" s="2"/>
      <c r="AL2" s="2"/>
      <c r="AM2" s="2"/>
      <c r="AN2" s="2"/>
      <c r="AO2" s="2"/>
      <c r="AP2" s="2"/>
      <c r="AQ2" s="2"/>
    </row>
    <row r="3" spans="1:43" ht="22" customHeight="1" x14ac:dyDescent="0.2">
      <c r="A3" s="1"/>
      <c r="B3" s="110" t="s">
        <v>442</v>
      </c>
      <c r="C3" s="104"/>
      <c r="D3" s="104"/>
      <c r="E3" s="104"/>
      <c r="F3" s="104"/>
      <c r="G3" s="104"/>
      <c r="H3" s="104"/>
      <c r="I3" s="104"/>
      <c r="J3" s="104"/>
      <c r="K3" s="104"/>
      <c r="L3" s="104"/>
      <c r="M3" s="104"/>
      <c r="N3" s="104"/>
      <c r="O3" s="104"/>
      <c r="P3" s="104"/>
      <c r="Q3" s="104"/>
      <c r="R3" s="104"/>
      <c r="S3" s="1"/>
      <c r="T3" s="1"/>
      <c r="U3" s="1"/>
      <c r="V3" s="1"/>
      <c r="W3" s="1"/>
      <c r="X3" s="1"/>
      <c r="Y3" s="1"/>
      <c r="Z3" s="1"/>
      <c r="AA3" s="1"/>
      <c r="AB3" s="1"/>
      <c r="AC3" s="1"/>
      <c r="AD3" s="2"/>
      <c r="AE3" s="2"/>
      <c r="AF3" s="2"/>
      <c r="AG3" s="2"/>
      <c r="AH3" s="2"/>
      <c r="AI3" s="2"/>
      <c r="AJ3" s="2"/>
      <c r="AK3" s="2"/>
      <c r="AL3" s="2"/>
      <c r="AM3" s="2"/>
      <c r="AN3" s="2"/>
      <c r="AO3" s="2"/>
      <c r="AP3" s="2"/>
      <c r="AQ3" s="2"/>
    </row>
    <row r="4" spans="1:43" ht="22" customHeight="1" x14ac:dyDescent="0.2">
      <c r="A4" s="1"/>
      <c r="B4" s="110" t="s">
        <v>209</v>
      </c>
      <c r="C4" s="104"/>
      <c r="D4" s="104"/>
      <c r="E4" s="104"/>
      <c r="F4" s="104"/>
      <c r="G4" s="104"/>
      <c r="H4" s="104"/>
      <c r="I4" s="104"/>
      <c r="J4" s="104"/>
      <c r="K4" s="104"/>
      <c r="L4" s="104"/>
      <c r="M4" s="104"/>
      <c r="N4" s="104"/>
      <c r="O4" s="104"/>
      <c r="P4" s="104"/>
      <c r="Q4" s="104"/>
      <c r="R4" s="104"/>
      <c r="S4" s="1"/>
      <c r="T4" s="1"/>
      <c r="U4" s="1"/>
      <c r="V4" s="1"/>
      <c r="W4" s="1"/>
      <c r="X4" s="1"/>
      <c r="Y4" s="1"/>
      <c r="Z4" s="1"/>
      <c r="AA4" s="1"/>
      <c r="AB4" s="1"/>
      <c r="AC4" s="1"/>
      <c r="AD4" s="2"/>
      <c r="AE4" s="2"/>
      <c r="AF4" s="2"/>
      <c r="AG4" s="2"/>
      <c r="AH4" s="2"/>
      <c r="AI4" s="2"/>
      <c r="AJ4" s="2"/>
      <c r="AK4" s="2"/>
      <c r="AL4" s="2"/>
      <c r="AM4" s="2"/>
      <c r="AN4" s="2"/>
      <c r="AO4" s="2"/>
      <c r="AP4" s="2"/>
      <c r="AQ4" s="2"/>
    </row>
    <row r="5" spans="1:43" ht="22" customHeight="1" x14ac:dyDescent="0.2">
      <c r="A5" s="1"/>
      <c r="B5" s="1"/>
      <c r="C5" s="1"/>
      <c r="D5" s="1"/>
      <c r="E5" s="1"/>
      <c r="F5" s="1"/>
      <c r="G5" s="1"/>
      <c r="H5" s="1"/>
      <c r="I5" s="1"/>
      <c r="J5" s="1"/>
      <c r="K5" s="1"/>
      <c r="L5" s="1"/>
      <c r="M5" s="1"/>
      <c r="N5" s="1"/>
      <c r="O5" s="1"/>
      <c r="P5" s="1"/>
      <c r="Q5" s="1"/>
      <c r="R5" s="1"/>
      <c r="S5" s="1"/>
      <c r="T5" s="1"/>
      <c r="U5" s="1"/>
      <c r="V5" s="1"/>
      <c r="W5" s="1"/>
      <c r="X5" s="1"/>
      <c r="Y5" s="1"/>
      <c r="Z5" s="1"/>
      <c r="AA5" s="1"/>
      <c r="AB5" s="1"/>
      <c r="AC5" s="1"/>
      <c r="AD5" s="2"/>
      <c r="AE5" s="2"/>
      <c r="AF5" s="2"/>
      <c r="AG5" s="2"/>
      <c r="AH5" s="2"/>
      <c r="AI5" s="2"/>
      <c r="AJ5" s="2"/>
      <c r="AK5" s="2"/>
      <c r="AL5" s="2"/>
      <c r="AM5" s="2"/>
      <c r="AN5" s="2"/>
      <c r="AO5" s="2"/>
      <c r="AP5" s="2"/>
      <c r="AQ5" s="2"/>
    </row>
    <row r="6" spans="1:43" x14ac:dyDescent="0.2">
      <c r="A6" s="1"/>
      <c r="B6" s="13" t="s">
        <v>6</v>
      </c>
      <c r="C6" s="14">
        <v>123</v>
      </c>
      <c r="D6" s="15" t="s">
        <v>7</v>
      </c>
      <c r="E6" s="16">
        <v>123</v>
      </c>
      <c r="F6" s="15" t="s">
        <v>8</v>
      </c>
      <c r="G6" s="17">
        <v>123</v>
      </c>
      <c r="H6" s="15" t="s">
        <v>9</v>
      </c>
      <c r="I6" s="18">
        <v>123</v>
      </c>
      <c r="J6" s="15" t="s">
        <v>10</v>
      </c>
      <c r="K6" s="1"/>
      <c r="L6" s="1"/>
      <c r="M6" s="1"/>
      <c r="N6" s="1"/>
      <c r="O6" s="1"/>
      <c r="P6" s="1"/>
      <c r="Q6" s="1"/>
      <c r="R6" s="1"/>
      <c r="S6" s="1"/>
      <c r="T6" s="1"/>
      <c r="U6" s="1"/>
      <c r="V6" s="1"/>
      <c r="W6" s="1"/>
      <c r="X6" s="1"/>
      <c r="Y6" s="1"/>
      <c r="Z6" s="1"/>
      <c r="AA6" s="1"/>
      <c r="AB6" s="1"/>
      <c r="AC6" s="1"/>
      <c r="AD6" s="2"/>
      <c r="AE6" s="2"/>
      <c r="AF6" s="2"/>
      <c r="AG6" s="2"/>
      <c r="AH6" s="2"/>
      <c r="AI6" s="2"/>
      <c r="AJ6" s="2"/>
      <c r="AK6" s="2"/>
      <c r="AL6" s="2"/>
      <c r="AM6" s="2"/>
      <c r="AN6" s="2"/>
      <c r="AO6" s="2"/>
      <c r="AP6" s="2"/>
      <c r="AQ6" s="2"/>
    </row>
    <row r="7" spans="1:43" x14ac:dyDescent="0.2">
      <c r="A7" s="1"/>
      <c r="B7" s="1"/>
      <c r="C7" s="1"/>
      <c r="D7" s="1"/>
      <c r="E7" s="1"/>
      <c r="F7" s="1"/>
      <c r="G7" s="1"/>
      <c r="H7" s="1"/>
      <c r="I7" s="1"/>
      <c r="J7" s="1"/>
      <c r="K7" s="1"/>
      <c r="L7" s="1"/>
      <c r="M7" s="1"/>
      <c r="N7" s="1"/>
      <c r="O7" s="1"/>
      <c r="P7" s="1"/>
      <c r="Q7" s="1"/>
      <c r="R7" s="1"/>
      <c r="S7" s="1"/>
      <c r="T7" s="1"/>
      <c r="U7" s="1"/>
      <c r="V7" s="1"/>
      <c r="W7" s="1"/>
      <c r="X7" s="1"/>
      <c r="Y7" s="1"/>
      <c r="Z7" s="1"/>
      <c r="AA7" s="1"/>
      <c r="AB7" s="1"/>
      <c r="AC7" s="1"/>
      <c r="AD7" s="2"/>
      <c r="AE7" s="2"/>
      <c r="AF7" s="2"/>
      <c r="AG7" s="2"/>
      <c r="AH7" s="2"/>
      <c r="AI7" s="2"/>
      <c r="AJ7" s="2"/>
      <c r="AK7" s="2"/>
      <c r="AL7" s="2"/>
      <c r="AM7" s="2"/>
      <c r="AN7" s="2"/>
      <c r="AO7" s="2"/>
      <c r="AP7" s="2"/>
      <c r="AQ7" s="2"/>
    </row>
    <row r="8" spans="1:43" ht="22" customHeight="1" x14ac:dyDescent="0.2">
      <c r="A8" s="1"/>
      <c r="B8" s="19" t="s">
        <v>210</v>
      </c>
      <c r="C8" s="15" t="s">
        <v>211</v>
      </c>
      <c r="D8" s="6"/>
      <c r="E8" s="6"/>
      <c r="F8" s="6"/>
      <c r="G8" s="6"/>
      <c r="H8" s="94"/>
      <c r="I8" s="94"/>
      <c r="J8" s="94"/>
      <c r="K8" s="94"/>
      <c r="L8" s="94"/>
      <c r="M8" s="94"/>
      <c r="N8" s="94"/>
      <c r="O8" s="94"/>
      <c r="P8" s="94"/>
      <c r="Q8" s="94"/>
      <c r="R8" s="94"/>
      <c r="S8" s="94"/>
      <c r="T8" s="94"/>
      <c r="U8" s="94"/>
      <c r="V8" s="94"/>
      <c r="W8" s="94"/>
      <c r="X8" s="94"/>
      <c r="Y8" s="94"/>
      <c r="Z8" s="94"/>
      <c r="AA8" s="94"/>
      <c r="AB8" s="94"/>
      <c r="AC8" s="95"/>
      <c r="AD8" s="2"/>
      <c r="AE8" s="2"/>
      <c r="AF8" s="2"/>
      <c r="AG8" s="2"/>
      <c r="AH8" s="2"/>
      <c r="AI8" s="2"/>
      <c r="AJ8" s="2"/>
      <c r="AK8" s="2"/>
      <c r="AL8" s="2"/>
      <c r="AM8" s="2"/>
      <c r="AN8" s="2"/>
      <c r="AO8" s="2"/>
      <c r="AP8" s="2"/>
      <c r="AQ8" s="2"/>
    </row>
    <row r="9" spans="1:43" ht="22" customHeight="1" x14ac:dyDescent="0.2">
      <c r="A9" s="1"/>
      <c r="B9" s="96" t="s">
        <v>212</v>
      </c>
      <c r="C9" s="99" t="s">
        <v>213</v>
      </c>
      <c r="D9" s="92" t="s">
        <v>214</v>
      </c>
      <c r="E9" s="1"/>
      <c r="F9" s="1"/>
      <c r="G9" s="1"/>
      <c r="H9" s="1"/>
      <c r="I9" s="1"/>
      <c r="J9" s="1"/>
      <c r="K9" s="1"/>
      <c r="L9" s="1"/>
      <c r="M9" s="1"/>
      <c r="N9" s="1"/>
      <c r="O9" s="1"/>
      <c r="P9" s="1"/>
      <c r="Q9" s="1"/>
      <c r="R9" s="1"/>
      <c r="S9" s="1"/>
      <c r="T9" s="1"/>
      <c r="U9" s="1"/>
      <c r="V9" s="1"/>
      <c r="W9" s="1"/>
      <c r="X9" s="1"/>
      <c r="Y9" s="1"/>
      <c r="Z9" s="1"/>
      <c r="AA9" s="1"/>
      <c r="AB9" s="1"/>
      <c r="AC9" s="1"/>
      <c r="AD9" s="2"/>
      <c r="AE9" s="2"/>
      <c r="AF9" s="2"/>
      <c r="AG9" s="2"/>
      <c r="AH9" s="2"/>
      <c r="AI9" s="2"/>
      <c r="AJ9" s="2"/>
      <c r="AK9" s="2"/>
      <c r="AL9" s="2"/>
      <c r="AM9" s="2"/>
      <c r="AN9" s="2"/>
      <c r="AO9" s="2"/>
      <c r="AP9" s="2"/>
      <c r="AQ9" s="2"/>
    </row>
    <row r="10" spans="1:43" ht="22" customHeight="1" x14ac:dyDescent="0.2">
      <c r="A10" s="1"/>
      <c r="B10" s="96" t="s">
        <v>215</v>
      </c>
      <c r="C10" s="99" t="s">
        <v>216</v>
      </c>
      <c r="D10" s="92" t="s">
        <v>217</v>
      </c>
      <c r="E10" s="1"/>
      <c r="F10" s="1"/>
      <c r="G10" s="1"/>
      <c r="H10" s="1"/>
      <c r="I10" s="1"/>
      <c r="J10" s="1"/>
      <c r="K10" s="1"/>
      <c r="L10" s="1"/>
      <c r="M10" s="1"/>
      <c r="N10" s="1"/>
      <c r="O10" s="1"/>
      <c r="P10" s="1"/>
      <c r="Q10" s="1"/>
      <c r="R10" s="1"/>
      <c r="S10" s="1"/>
      <c r="T10" s="1"/>
      <c r="U10" s="1"/>
      <c r="V10" s="1"/>
      <c r="W10" s="1"/>
      <c r="X10" s="1"/>
      <c r="Y10" s="1"/>
      <c r="Z10" s="1"/>
      <c r="AA10" s="1"/>
      <c r="AB10" s="1"/>
      <c r="AC10" s="1"/>
      <c r="AD10" s="2"/>
      <c r="AE10" s="2"/>
      <c r="AF10" s="2"/>
      <c r="AG10" s="2"/>
      <c r="AH10" s="2"/>
      <c r="AI10" s="2"/>
      <c r="AJ10" s="2"/>
      <c r="AK10" s="2"/>
      <c r="AL10" s="2"/>
      <c r="AM10" s="2"/>
      <c r="AN10" s="2"/>
      <c r="AO10" s="2"/>
      <c r="AP10" s="2"/>
      <c r="AQ10" s="2"/>
    </row>
    <row r="11" spans="1:43" ht="22" customHeight="1" x14ac:dyDescent="0.2">
      <c r="A11" s="1"/>
      <c r="B11" s="96" t="s">
        <v>407</v>
      </c>
      <c r="C11" s="99" t="s">
        <v>408</v>
      </c>
      <c r="D11" s="92" t="s">
        <v>409</v>
      </c>
      <c r="E11" s="1"/>
      <c r="F11" s="50">
        <f>IFERROR(MATCH(C11,{"Jan";"Feb";"Mar";"Apr";"May";"Jun";"Jul";"Aug";"Sep";"Oct";"Nov";"Dec"},0),7)</f>
        <v>7</v>
      </c>
      <c r="G11" s="1"/>
      <c r="H11" s="1"/>
      <c r="I11" s="1"/>
      <c r="J11" s="1"/>
      <c r="K11" s="1"/>
      <c r="L11" s="1"/>
      <c r="M11" s="1"/>
      <c r="N11" s="1"/>
      <c r="O11" s="1"/>
      <c r="P11" s="1"/>
      <c r="Q11" s="1"/>
      <c r="R11" s="1"/>
      <c r="S11" s="1"/>
      <c r="T11" s="1"/>
      <c r="U11" s="1"/>
      <c r="V11" s="1"/>
      <c r="W11" s="1"/>
      <c r="X11" s="1"/>
      <c r="Y11" s="1"/>
      <c r="Z11" s="1"/>
      <c r="AA11" s="1"/>
      <c r="AB11" s="1"/>
      <c r="AC11" s="1"/>
      <c r="AD11" s="2"/>
      <c r="AE11" s="2"/>
      <c r="AF11" s="2"/>
      <c r="AG11" s="2"/>
      <c r="AH11" s="2"/>
      <c r="AI11" s="2"/>
      <c r="AJ11" s="2"/>
      <c r="AK11" s="2"/>
      <c r="AL11" s="2"/>
      <c r="AM11" s="2"/>
      <c r="AN11" s="2"/>
      <c r="AO11" s="2"/>
      <c r="AP11" s="2"/>
      <c r="AQ11" s="2"/>
    </row>
    <row r="12" spans="1:43" ht="22" customHeight="1" x14ac:dyDescent="0.2">
      <c r="A12" s="1"/>
      <c r="B12" s="96" t="s">
        <v>410</v>
      </c>
      <c r="C12" s="100">
        <f>smp_tax_rate</f>
        <v>0.25</v>
      </c>
      <c r="D12" s="92" t="s">
        <v>411</v>
      </c>
      <c r="E12" s="1"/>
      <c r="F12" s="1"/>
      <c r="G12" s="1"/>
      <c r="H12" s="1"/>
      <c r="I12" s="1"/>
      <c r="J12" s="1"/>
      <c r="K12" s="1"/>
      <c r="L12" s="1"/>
      <c r="M12" s="1"/>
      <c r="N12" s="1"/>
      <c r="O12" s="1"/>
      <c r="P12" s="1"/>
      <c r="Q12" s="1"/>
      <c r="R12" s="1"/>
      <c r="S12" s="1"/>
      <c r="T12" s="1"/>
      <c r="U12" s="1"/>
      <c r="V12" s="1"/>
      <c r="W12" s="1"/>
      <c r="X12" s="1"/>
      <c r="Y12" s="1"/>
      <c r="Z12" s="1"/>
      <c r="AA12" s="1"/>
      <c r="AB12" s="1"/>
      <c r="AC12" s="1"/>
      <c r="AD12" s="2"/>
      <c r="AE12" s="2"/>
      <c r="AF12" s="2"/>
      <c r="AG12" s="2"/>
      <c r="AH12" s="2"/>
      <c r="AI12" s="2"/>
      <c r="AJ12" s="2"/>
      <c r="AK12" s="2"/>
      <c r="AL12" s="2"/>
      <c r="AM12" s="2"/>
      <c r="AN12" s="2"/>
      <c r="AO12" s="2"/>
      <c r="AP12" s="2"/>
      <c r="AQ12" s="2"/>
    </row>
    <row r="13" spans="1:43" ht="22" customHeight="1" x14ac:dyDescent="0.2">
      <c r="A13" s="1"/>
      <c r="B13" s="96" t="s">
        <v>222</v>
      </c>
      <c r="C13" s="101" t="str">
        <f>'Sample Model'!W3</f>
        <v>Upside</v>
      </c>
      <c r="D13" s="92" t="s">
        <v>223</v>
      </c>
      <c r="E13" s="1"/>
      <c r="F13" s="1"/>
      <c r="G13" s="1"/>
      <c r="H13" s="1"/>
      <c r="I13" s="1"/>
      <c r="J13" s="1"/>
      <c r="K13" s="1"/>
      <c r="L13" s="1"/>
      <c r="M13" s="1"/>
      <c r="N13" s="1"/>
      <c r="O13" s="1"/>
      <c r="P13" s="1"/>
      <c r="Q13" s="1"/>
      <c r="R13" s="1"/>
      <c r="S13" s="1"/>
      <c r="T13" s="1"/>
      <c r="U13" s="1"/>
      <c r="V13" s="1"/>
      <c r="W13" s="1"/>
      <c r="X13" s="1"/>
      <c r="Y13" s="1"/>
      <c r="Z13" s="1"/>
      <c r="AA13" s="1"/>
      <c r="AB13" s="1"/>
      <c r="AC13" s="1"/>
      <c r="AD13" s="2"/>
      <c r="AE13" s="2"/>
      <c r="AF13" s="2"/>
      <c r="AG13" s="2"/>
      <c r="AH13" s="2"/>
      <c r="AI13" s="2"/>
      <c r="AJ13" s="2"/>
      <c r="AK13" s="2"/>
      <c r="AL13" s="2"/>
      <c r="AM13" s="2"/>
      <c r="AN13" s="2"/>
      <c r="AO13" s="2"/>
      <c r="AP13" s="2"/>
      <c r="AQ13" s="2"/>
    </row>
    <row r="14" spans="1:43" ht="22" customHeight="1" x14ac:dyDescent="0.2">
      <c r="A14" s="1"/>
      <c r="B14" s="96" t="s">
        <v>224</v>
      </c>
      <c r="C14" s="101" t="str">
        <f>'Sample Model'!W4</f>
        <v>All Three</v>
      </c>
      <c r="D14" s="92" t="s">
        <v>225</v>
      </c>
      <c r="E14" s="1"/>
      <c r="F14" s="1"/>
      <c r="G14" s="1"/>
      <c r="H14" s="1"/>
      <c r="I14" s="1"/>
      <c r="J14" s="1"/>
      <c r="K14" s="1"/>
      <c r="L14" s="1"/>
      <c r="M14" s="1"/>
      <c r="N14" s="1"/>
      <c r="O14" s="1"/>
      <c r="P14" s="1"/>
      <c r="Q14" s="1"/>
      <c r="R14" s="1"/>
      <c r="S14" s="1"/>
      <c r="T14" s="1"/>
      <c r="U14" s="1"/>
      <c r="V14" s="1"/>
      <c r="W14" s="1"/>
      <c r="X14" s="1"/>
      <c r="Y14" s="1"/>
      <c r="Z14" s="1"/>
      <c r="AA14" s="1"/>
      <c r="AB14" s="1"/>
      <c r="AC14" s="1"/>
      <c r="AD14" s="2"/>
      <c r="AE14" s="2"/>
      <c r="AF14" s="2"/>
      <c r="AG14" s="2"/>
      <c r="AH14" s="2"/>
      <c r="AI14" s="2"/>
      <c r="AJ14" s="2"/>
      <c r="AK14" s="2"/>
      <c r="AL14" s="2"/>
      <c r="AM14" s="2"/>
      <c r="AN14" s="2"/>
      <c r="AO14" s="2"/>
      <c r="AP14" s="2"/>
      <c r="AQ14" s="2"/>
    </row>
    <row r="15" spans="1:43" ht="22" customHeight="1" x14ac:dyDescent="0.2">
      <c r="A15" s="1"/>
      <c r="B15" s="96" t="s">
        <v>226</v>
      </c>
      <c r="C15" s="101" t="str">
        <f>'Sample Model'!W5</f>
        <v>24 months</v>
      </c>
      <c r="D15" s="92" t="s">
        <v>227</v>
      </c>
      <c r="E15" s="1"/>
      <c r="F15" s="1"/>
      <c r="G15" s="1"/>
      <c r="H15" s="1"/>
      <c r="I15" s="1"/>
      <c r="J15" s="1"/>
      <c r="K15" s="1"/>
      <c r="L15" s="1"/>
      <c r="M15" s="1"/>
      <c r="N15" s="1"/>
      <c r="O15" s="1"/>
      <c r="P15" s="1"/>
      <c r="Q15" s="1"/>
      <c r="R15" s="1"/>
      <c r="S15" s="1"/>
      <c r="T15" s="1"/>
      <c r="U15" s="1"/>
      <c r="V15" s="1"/>
      <c r="W15" s="1"/>
      <c r="X15" s="1"/>
      <c r="Y15" s="1"/>
      <c r="Z15" s="1"/>
      <c r="AA15" s="1"/>
      <c r="AB15" s="1"/>
      <c r="AC15" s="1"/>
      <c r="AD15" s="2"/>
      <c r="AE15" s="2"/>
      <c r="AF15" s="2"/>
      <c r="AG15" s="2"/>
      <c r="AH15" s="2"/>
      <c r="AI15" s="2"/>
      <c r="AJ15" s="2"/>
      <c r="AK15" s="2"/>
      <c r="AL15" s="2"/>
      <c r="AM15" s="2"/>
      <c r="AN15" s="2"/>
      <c r="AO15" s="2"/>
      <c r="AP15" s="2"/>
      <c r="AQ15" s="2"/>
    </row>
    <row r="16" spans="1:43" x14ac:dyDescent="0.2">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2"/>
      <c r="AE16" s="2"/>
      <c r="AF16" s="2"/>
      <c r="AG16" s="2"/>
      <c r="AH16" s="2"/>
      <c r="AI16" s="2"/>
      <c r="AJ16" s="2"/>
      <c r="AK16" s="2"/>
      <c r="AL16" s="2"/>
      <c r="AM16" s="2"/>
      <c r="AN16" s="2"/>
      <c r="AO16" s="2"/>
      <c r="AP16" s="2"/>
      <c r="AQ16" s="2"/>
    </row>
    <row r="17" spans="1:43" ht="22" customHeight="1" x14ac:dyDescent="0.2">
      <c r="A17" s="1"/>
      <c r="B17" s="19" t="s">
        <v>228</v>
      </c>
      <c r="C17" s="15" t="s">
        <v>229</v>
      </c>
      <c r="D17" s="6"/>
      <c r="E17" s="6"/>
      <c r="F17" s="6"/>
      <c r="G17" s="6"/>
      <c r="H17" s="94"/>
      <c r="I17" s="94"/>
      <c r="J17" s="94"/>
      <c r="K17" s="94"/>
      <c r="L17" s="94"/>
      <c r="M17" s="94"/>
      <c r="N17" s="94"/>
      <c r="O17" s="94"/>
      <c r="P17" s="94"/>
      <c r="Q17" s="94"/>
      <c r="R17" s="94"/>
      <c r="S17" s="94"/>
      <c r="T17" s="94"/>
      <c r="U17" s="94"/>
      <c r="V17" s="94"/>
      <c r="W17" s="94"/>
      <c r="X17" s="94"/>
      <c r="Y17" s="94"/>
      <c r="Z17" s="94"/>
      <c r="AA17" s="94"/>
      <c r="AB17" s="94"/>
      <c r="AC17" s="95"/>
      <c r="AD17" s="2"/>
      <c r="AE17" s="2"/>
      <c r="AF17" s="2"/>
      <c r="AG17" s="2"/>
      <c r="AH17" s="2"/>
      <c r="AI17" s="2"/>
      <c r="AJ17" s="2"/>
      <c r="AK17" s="2"/>
      <c r="AL17" s="2"/>
      <c r="AM17" s="2"/>
      <c r="AN17" s="2"/>
      <c r="AO17" s="2"/>
      <c r="AP17" s="2"/>
      <c r="AQ17" s="2"/>
    </row>
    <row r="18" spans="1:43" ht="22" customHeight="1" x14ac:dyDescent="0.2">
      <c r="A18" s="1"/>
      <c r="B18" s="96" t="s">
        <v>230</v>
      </c>
      <c r="C18" s="47">
        <v>520000</v>
      </c>
      <c r="D18" s="92" t="s">
        <v>231</v>
      </c>
      <c r="E18" s="1"/>
      <c r="F18" s="1"/>
      <c r="G18" s="1"/>
      <c r="H18" s="1"/>
      <c r="I18" s="1"/>
      <c r="J18" s="1"/>
      <c r="K18" s="1"/>
      <c r="L18" s="1"/>
      <c r="M18" s="1"/>
      <c r="N18" s="1"/>
      <c r="O18" s="1"/>
      <c r="P18" s="1"/>
      <c r="Q18" s="1"/>
      <c r="R18" s="1"/>
      <c r="S18" s="1"/>
      <c r="T18" s="1"/>
      <c r="U18" s="1"/>
      <c r="V18" s="1"/>
      <c r="W18" s="1"/>
      <c r="X18" s="1"/>
      <c r="Y18" s="1"/>
      <c r="Z18" s="1"/>
      <c r="AA18" s="1"/>
      <c r="AB18" s="1"/>
      <c r="AC18" s="1"/>
      <c r="AD18" s="2"/>
      <c r="AE18" s="2"/>
      <c r="AF18" s="2"/>
      <c r="AG18" s="2"/>
      <c r="AH18" s="2"/>
      <c r="AI18" s="2"/>
      <c r="AJ18" s="2"/>
      <c r="AK18" s="2"/>
      <c r="AL18" s="2"/>
      <c r="AM18" s="2"/>
      <c r="AN18" s="2"/>
      <c r="AO18" s="2"/>
      <c r="AP18" s="2"/>
      <c r="AQ18" s="2"/>
    </row>
    <row r="19" spans="1:43" ht="22" customHeight="1" x14ac:dyDescent="0.2">
      <c r="A19" s="1"/>
      <c r="B19" s="96" t="s">
        <v>232</v>
      </c>
      <c r="C19" s="47">
        <v>620000</v>
      </c>
      <c r="D19" s="92" t="s">
        <v>233</v>
      </c>
      <c r="E19" s="1"/>
      <c r="F19" s="1"/>
      <c r="G19" s="1"/>
      <c r="H19" s="1"/>
      <c r="I19" s="1"/>
      <c r="J19" s="1"/>
      <c r="K19" s="1"/>
      <c r="L19" s="1"/>
      <c r="M19" s="1"/>
      <c r="N19" s="1"/>
      <c r="O19" s="1"/>
      <c r="P19" s="1"/>
      <c r="Q19" s="1"/>
      <c r="R19" s="1"/>
      <c r="S19" s="1"/>
      <c r="T19" s="1"/>
      <c r="U19" s="1"/>
      <c r="V19" s="1"/>
      <c r="W19" s="1"/>
      <c r="X19" s="1"/>
      <c r="Y19" s="1"/>
      <c r="Z19" s="1"/>
      <c r="AA19" s="1"/>
      <c r="AB19" s="1"/>
      <c r="AC19" s="1"/>
      <c r="AD19" s="2"/>
      <c r="AE19" s="2"/>
      <c r="AF19" s="2"/>
      <c r="AG19" s="2"/>
      <c r="AH19" s="2"/>
      <c r="AI19" s="2"/>
      <c r="AJ19" s="2"/>
      <c r="AK19" s="2"/>
      <c r="AL19" s="2"/>
      <c r="AM19" s="2"/>
      <c r="AN19" s="2"/>
      <c r="AO19" s="2"/>
      <c r="AP19" s="2"/>
      <c r="AQ19" s="2"/>
    </row>
    <row r="20" spans="1:43" ht="22" customHeight="1" x14ac:dyDescent="0.2">
      <c r="A20" s="1"/>
      <c r="B20" s="96" t="s">
        <v>234</v>
      </c>
      <c r="C20" s="47">
        <v>30000</v>
      </c>
      <c r="D20" s="92" t="s">
        <v>235</v>
      </c>
      <c r="E20" s="1"/>
      <c r="F20" s="1"/>
      <c r="G20" s="1"/>
      <c r="H20" s="1"/>
      <c r="I20" s="1"/>
      <c r="J20" s="1"/>
      <c r="K20" s="1"/>
      <c r="L20" s="1"/>
      <c r="M20" s="1"/>
      <c r="N20" s="1"/>
      <c r="O20" s="1"/>
      <c r="P20" s="1"/>
      <c r="Q20" s="1"/>
      <c r="R20" s="1"/>
      <c r="S20" s="1"/>
      <c r="T20" s="1"/>
      <c r="U20" s="1"/>
      <c r="V20" s="1"/>
      <c r="W20" s="1"/>
      <c r="X20" s="1"/>
      <c r="Y20" s="1"/>
      <c r="Z20" s="1"/>
      <c r="AA20" s="1"/>
      <c r="AB20" s="1"/>
      <c r="AC20" s="1"/>
      <c r="AD20" s="2"/>
      <c r="AE20" s="2"/>
      <c r="AF20" s="2"/>
      <c r="AG20" s="2"/>
      <c r="AH20" s="2"/>
      <c r="AI20" s="2"/>
      <c r="AJ20" s="2"/>
      <c r="AK20" s="2"/>
      <c r="AL20" s="2"/>
      <c r="AM20" s="2"/>
      <c r="AN20" s="2"/>
      <c r="AO20" s="2"/>
      <c r="AP20" s="2"/>
      <c r="AQ20" s="2"/>
    </row>
    <row r="21" spans="1:43" ht="22" customHeight="1" x14ac:dyDescent="0.2">
      <c r="A21" s="1"/>
      <c r="B21" s="96" t="s">
        <v>236</v>
      </c>
      <c r="C21" s="47">
        <v>180000</v>
      </c>
      <c r="D21" s="92" t="s">
        <v>237</v>
      </c>
      <c r="E21" s="1"/>
      <c r="F21" s="1"/>
      <c r="G21" s="1"/>
      <c r="H21" s="1"/>
      <c r="I21" s="1"/>
      <c r="J21" s="1"/>
      <c r="K21" s="1"/>
      <c r="L21" s="1"/>
      <c r="M21" s="1"/>
      <c r="N21" s="1"/>
      <c r="O21" s="1"/>
      <c r="P21" s="1"/>
      <c r="Q21" s="1"/>
      <c r="R21" s="1"/>
      <c r="S21" s="1"/>
      <c r="T21" s="1"/>
      <c r="U21" s="1"/>
      <c r="V21" s="1"/>
      <c r="W21" s="1"/>
      <c r="X21" s="1"/>
      <c r="Y21" s="1"/>
      <c r="Z21" s="1"/>
      <c r="AA21" s="1"/>
      <c r="AB21" s="1"/>
      <c r="AC21" s="1"/>
      <c r="AD21" s="2"/>
      <c r="AE21" s="2"/>
      <c r="AF21" s="2"/>
      <c r="AG21" s="2"/>
      <c r="AH21" s="2"/>
      <c r="AI21" s="2"/>
      <c r="AJ21" s="2"/>
      <c r="AK21" s="2"/>
      <c r="AL21" s="2"/>
      <c r="AM21" s="2"/>
      <c r="AN21" s="2"/>
      <c r="AO21" s="2"/>
      <c r="AP21" s="2"/>
      <c r="AQ21" s="2"/>
    </row>
    <row r="22" spans="1:43" ht="22" customHeight="1" x14ac:dyDescent="0.2">
      <c r="A22" s="1"/>
      <c r="B22" s="96" t="s">
        <v>238</v>
      </c>
      <c r="C22" s="47">
        <v>195000</v>
      </c>
      <c r="D22" s="92" t="s">
        <v>239</v>
      </c>
      <c r="E22" s="1"/>
      <c r="F22" s="1"/>
      <c r="G22" s="1"/>
      <c r="H22" s="1"/>
      <c r="I22" s="1"/>
      <c r="J22" s="1"/>
      <c r="K22" s="1"/>
      <c r="L22" s="1"/>
      <c r="M22" s="1"/>
      <c r="N22" s="1"/>
      <c r="O22" s="1"/>
      <c r="P22" s="1"/>
      <c r="Q22" s="1"/>
      <c r="R22" s="1"/>
      <c r="S22" s="1"/>
      <c r="T22" s="1"/>
      <c r="U22" s="1"/>
      <c r="V22" s="1"/>
      <c r="W22" s="1"/>
      <c r="X22" s="1"/>
      <c r="Y22" s="1"/>
      <c r="Z22" s="1"/>
      <c r="AA22" s="1"/>
      <c r="AB22" s="1"/>
      <c r="AC22" s="1"/>
      <c r="AD22" s="2"/>
      <c r="AE22" s="2"/>
      <c r="AF22" s="2"/>
      <c r="AG22" s="2"/>
      <c r="AH22" s="2"/>
      <c r="AI22" s="2"/>
      <c r="AJ22" s="2"/>
      <c r="AK22" s="2"/>
      <c r="AL22" s="2"/>
      <c r="AM22" s="2"/>
      <c r="AN22" s="2"/>
      <c r="AO22" s="2"/>
      <c r="AP22" s="2"/>
      <c r="AQ22" s="2"/>
    </row>
    <row r="23" spans="1:43" ht="22" customHeight="1" x14ac:dyDescent="0.2">
      <c r="A23" s="1"/>
      <c r="B23" s="96" t="s">
        <v>240</v>
      </c>
      <c r="C23" s="47">
        <v>24000</v>
      </c>
      <c r="D23" s="92" t="s">
        <v>241</v>
      </c>
      <c r="E23" s="1"/>
      <c r="F23" s="1"/>
      <c r="G23" s="1"/>
      <c r="H23" s="1"/>
      <c r="I23" s="1"/>
      <c r="J23" s="1"/>
      <c r="K23" s="1"/>
      <c r="L23" s="1"/>
      <c r="M23" s="1"/>
      <c r="N23" s="1"/>
      <c r="O23" s="1"/>
      <c r="P23" s="1"/>
      <c r="Q23" s="1"/>
      <c r="R23" s="1"/>
      <c r="S23" s="1"/>
      <c r="T23" s="1"/>
      <c r="U23" s="1"/>
      <c r="V23" s="1"/>
      <c r="W23" s="1"/>
      <c r="X23" s="1"/>
      <c r="Y23" s="1"/>
      <c r="Z23" s="1"/>
      <c r="AA23" s="1"/>
      <c r="AB23" s="1"/>
      <c r="AC23" s="1"/>
      <c r="AD23" s="2"/>
      <c r="AE23" s="2"/>
      <c r="AF23" s="2"/>
      <c r="AG23" s="2"/>
      <c r="AH23" s="2"/>
      <c r="AI23" s="2"/>
      <c r="AJ23" s="2"/>
      <c r="AK23" s="2"/>
      <c r="AL23" s="2"/>
      <c r="AM23" s="2"/>
      <c r="AN23" s="2"/>
      <c r="AO23" s="2"/>
      <c r="AP23" s="2"/>
      <c r="AQ23" s="2"/>
    </row>
    <row r="24" spans="1:43" ht="22" customHeight="1" x14ac:dyDescent="0.2">
      <c r="A24" s="1"/>
      <c r="B24" s="96" t="s">
        <v>242</v>
      </c>
      <c r="C24" s="47">
        <v>28000</v>
      </c>
      <c r="D24" s="92" t="s">
        <v>243</v>
      </c>
      <c r="E24" s="1"/>
      <c r="F24" s="1"/>
      <c r="G24" s="1"/>
      <c r="H24" s="1"/>
      <c r="I24" s="1"/>
      <c r="J24" s="1"/>
      <c r="K24" s="1"/>
      <c r="L24" s="1"/>
      <c r="M24" s="1"/>
      <c r="N24" s="1"/>
      <c r="O24" s="1"/>
      <c r="P24" s="1"/>
      <c r="Q24" s="1"/>
      <c r="R24" s="1"/>
      <c r="S24" s="1"/>
      <c r="T24" s="1"/>
      <c r="U24" s="1"/>
      <c r="V24" s="1"/>
      <c r="W24" s="1"/>
      <c r="X24" s="1"/>
      <c r="Y24" s="1"/>
      <c r="Z24" s="1"/>
      <c r="AA24" s="1"/>
      <c r="AB24" s="1"/>
      <c r="AC24" s="1"/>
      <c r="AD24" s="2"/>
      <c r="AE24" s="2"/>
      <c r="AF24" s="2"/>
      <c r="AG24" s="2"/>
      <c r="AH24" s="2"/>
      <c r="AI24" s="2"/>
      <c r="AJ24" s="2"/>
      <c r="AK24" s="2"/>
      <c r="AL24" s="2"/>
      <c r="AM24" s="2"/>
      <c r="AN24" s="2"/>
      <c r="AO24" s="2"/>
      <c r="AP24" s="2"/>
      <c r="AQ24" s="2"/>
    </row>
    <row r="25" spans="1:43" ht="22" customHeight="1" x14ac:dyDescent="0.2">
      <c r="A25" s="1"/>
      <c r="B25" s="96" t="s">
        <v>244</v>
      </c>
      <c r="C25" s="47">
        <v>300000</v>
      </c>
      <c r="D25" s="92" t="s">
        <v>245</v>
      </c>
      <c r="E25" s="1"/>
      <c r="F25" s="1"/>
      <c r="G25" s="1"/>
      <c r="H25" s="1"/>
      <c r="I25" s="1"/>
      <c r="J25" s="1"/>
      <c r="K25" s="1"/>
      <c r="L25" s="1"/>
      <c r="M25" s="1"/>
      <c r="N25" s="1"/>
      <c r="O25" s="1"/>
      <c r="P25" s="1"/>
      <c r="Q25" s="1"/>
      <c r="R25" s="1"/>
      <c r="S25" s="1"/>
      <c r="T25" s="1"/>
      <c r="U25" s="1"/>
      <c r="V25" s="1"/>
      <c r="W25" s="1"/>
      <c r="X25" s="1"/>
      <c r="Y25" s="1"/>
      <c r="Z25" s="1"/>
      <c r="AA25" s="1"/>
      <c r="AB25" s="1"/>
      <c r="AC25" s="1"/>
      <c r="AD25" s="2"/>
      <c r="AE25" s="2"/>
      <c r="AF25" s="2"/>
      <c r="AG25" s="2"/>
      <c r="AH25" s="2"/>
      <c r="AI25" s="2"/>
      <c r="AJ25" s="2"/>
      <c r="AK25" s="2"/>
      <c r="AL25" s="2"/>
      <c r="AM25" s="2"/>
      <c r="AN25" s="2"/>
      <c r="AO25" s="2"/>
      <c r="AP25" s="2"/>
      <c r="AQ25" s="2"/>
    </row>
    <row r="26" spans="1:43" ht="22" customHeight="1" x14ac:dyDescent="0.2">
      <c r="A26" s="1"/>
      <c r="B26" s="96" t="s">
        <v>246</v>
      </c>
      <c r="C26" s="47">
        <v>200000</v>
      </c>
      <c r="D26" s="92" t="s">
        <v>247</v>
      </c>
      <c r="E26" s="1"/>
      <c r="F26" s="1"/>
      <c r="G26" s="1"/>
      <c r="H26" s="1"/>
      <c r="I26" s="1"/>
      <c r="J26" s="1"/>
      <c r="K26" s="1"/>
      <c r="L26" s="1"/>
      <c r="M26" s="1"/>
      <c r="N26" s="1"/>
      <c r="O26" s="1"/>
      <c r="P26" s="1"/>
      <c r="Q26" s="1"/>
      <c r="R26" s="1"/>
      <c r="S26" s="1"/>
      <c r="T26" s="1"/>
      <c r="U26" s="1"/>
      <c r="V26" s="1"/>
      <c r="W26" s="1"/>
      <c r="X26" s="1"/>
      <c r="Y26" s="1"/>
      <c r="Z26" s="1"/>
      <c r="AA26" s="1"/>
      <c r="AB26" s="1"/>
      <c r="AC26" s="1"/>
      <c r="AD26" s="2"/>
      <c r="AE26" s="2"/>
      <c r="AF26" s="2"/>
      <c r="AG26" s="2"/>
      <c r="AH26" s="2"/>
      <c r="AI26" s="2"/>
      <c r="AJ26" s="2"/>
      <c r="AK26" s="2"/>
      <c r="AL26" s="2"/>
      <c r="AM26" s="2"/>
      <c r="AN26" s="2"/>
      <c r="AO26" s="2"/>
      <c r="AP26" s="2"/>
      <c r="AQ26" s="2"/>
    </row>
    <row r="27" spans="1:43" ht="22" customHeight="1" x14ac:dyDescent="0.2">
      <c r="A27" s="1"/>
      <c r="B27" s="96" t="s">
        <v>248</v>
      </c>
      <c r="C27" s="24">
        <f>(smp_open_cash+smp_open_ar+smp_open_oca+smp_open_fa)-(smp_open_ap+smp_open_ocl+smp_open_tax_pay+smp_open_debt+smp_open_sc)</f>
        <v>603000</v>
      </c>
      <c r="D27" s="92" t="s">
        <v>249</v>
      </c>
      <c r="E27" s="1"/>
      <c r="F27" s="1"/>
      <c r="G27" s="1"/>
      <c r="H27" s="1"/>
      <c r="I27" s="1"/>
      <c r="J27" s="1"/>
      <c r="K27" s="1"/>
      <c r="L27" s="1"/>
      <c r="M27" s="1"/>
      <c r="N27" s="1"/>
      <c r="O27" s="1"/>
      <c r="P27" s="1"/>
      <c r="Q27" s="1"/>
      <c r="R27" s="1"/>
      <c r="S27" s="1"/>
      <c r="T27" s="1"/>
      <c r="U27" s="1"/>
      <c r="V27" s="1"/>
      <c r="W27" s="1"/>
      <c r="X27" s="1"/>
      <c r="Y27" s="1"/>
      <c r="Z27" s="1"/>
      <c r="AA27" s="1"/>
      <c r="AB27" s="1"/>
      <c r="AC27" s="1"/>
      <c r="AD27" s="2"/>
      <c r="AE27" s="2"/>
      <c r="AF27" s="2"/>
      <c r="AG27" s="2"/>
      <c r="AH27" s="2"/>
      <c r="AI27" s="2"/>
      <c r="AJ27" s="2"/>
      <c r="AK27" s="2"/>
      <c r="AL27" s="2"/>
      <c r="AM27" s="2"/>
      <c r="AN27" s="2"/>
      <c r="AO27" s="2"/>
      <c r="AP27" s="2"/>
      <c r="AQ27" s="2"/>
    </row>
    <row r="28" spans="1:43" ht="22" customHeight="1" x14ac:dyDescent="0.2">
      <c r="A28" s="1"/>
      <c r="B28" s="96" t="s">
        <v>250</v>
      </c>
      <c r="C28" s="25">
        <f>(smp_open_cash+smp_open_ar+smp_open_oca+smp_open_fa)-(smp_open_ap+smp_open_ocl+smp_open_tax_pay+smp_open_debt+smp_open_sc+smp_open_re)</f>
        <v>0</v>
      </c>
      <c r="D28" s="92" t="s">
        <v>251</v>
      </c>
      <c r="E28" s="1"/>
      <c r="F28" s="1"/>
      <c r="G28" s="1"/>
      <c r="H28" s="1"/>
      <c r="I28" s="1"/>
      <c r="J28" s="1"/>
      <c r="K28" s="1"/>
      <c r="L28" s="1"/>
      <c r="M28" s="1"/>
      <c r="N28" s="1"/>
      <c r="O28" s="1"/>
      <c r="P28" s="1"/>
      <c r="Q28" s="1"/>
      <c r="R28" s="1"/>
      <c r="S28" s="1"/>
      <c r="T28" s="1"/>
      <c r="U28" s="1"/>
      <c r="V28" s="1"/>
      <c r="W28" s="1"/>
      <c r="X28" s="1"/>
      <c r="Y28" s="1"/>
      <c r="Z28" s="1"/>
      <c r="AA28" s="1"/>
      <c r="AB28" s="1"/>
      <c r="AC28" s="1"/>
      <c r="AD28" s="2"/>
      <c r="AE28" s="2"/>
      <c r="AF28" s="2"/>
      <c r="AG28" s="2"/>
      <c r="AH28" s="2"/>
      <c r="AI28" s="2"/>
      <c r="AJ28" s="2"/>
      <c r="AK28" s="2"/>
      <c r="AL28" s="2"/>
      <c r="AM28" s="2"/>
      <c r="AN28" s="2"/>
      <c r="AO28" s="2"/>
      <c r="AP28" s="2"/>
      <c r="AQ28" s="2"/>
    </row>
    <row r="29" spans="1:43" x14ac:dyDescent="0.2">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2"/>
      <c r="AE29" s="2"/>
      <c r="AF29" s="2"/>
      <c r="AG29" s="2"/>
      <c r="AH29" s="2"/>
      <c r="AI29" s="2"/>
      <c r="AJ29" s="2"/>
      <c r="AK29" s="2"/>
      <c r="AL29" s="2"/>
      <c r="AM29" s="2"/>
      <c r="AN29" s="2"/>
      <c r="AO29" s="2"/>
      <c r="AP29" s="2"/>
      <c r="AQ29" s="2"/>
    </row>
    <row r="30" spans="1:43" ht="22" customHeight="1" x14ac:dyDescent="0.2">
      <c r="A30" s="1"/>
      <c r="B30" s="19" t="s">
        <v>252</v>
      </c>
      <c r="C30" s="15" t="s">
        <v>253</v>
      </c>
      <c r="D30" s="6"/>
      <c r="E30" s="6"/>
      <c r="F30" s="6"/>
      <c r="G30" s="6"/>
      <c r="H30" s="94"/>
      <c r="I30" s="94"/>
      <c r="J30" s="94"/>
      <c r="K30" s="94"/>
      <c r="L30" s="94"/>
      <c r="M30" s="94"/>
      <c r="N30" s="94"/>
      <c r="O30" s="94"/>
      <c r="P30" s="94"/>
      <c r="Q30" s="94"/>
      <c r="R30" s="94"/>
      <c r="S30" s="94"/>
      <c r="T30" s="94"/>
      <c r="U30" s="94"/>
      <c r="V30" s="94"/>
      <c r="W30" s="94"/>
      <c r="X30" s="94"/>
      <c r="Y30" s="94"/>
      <c r="Z30" s="94"/>
      <c r="AA30" s="94"/>
      <c r="AB30" s="94"/>
      <c r="AC30" s="95"/>
      <c r="AD30" s="2"/>
      <c r="AE30" s="2"/>
      <c r="AF30" s="2"/>
      <c r="AG30" s="2"/>
      <c r="AH30" s="2"/>
      <c r="AI30" s="2"/>
      <c r="AJ30" s="2"/>
      <c r="AK30" s="2"/>
      <c r="AL30" s="2"/>
      <c r="AM30" s="2"/>
      <c r="AN30" s="2"/>
      <c r="AO30" s="2"/>
      <c r="AP30" s="2"/>
      <c r="AQ30" s="2"/>
    </row>
    <row r="31" spans="1:43" ht="22" customHeight="1" x14ac:dyDescent="0.2">
      <c r="A31" s="1"/>
      <c r="B31" s="96" t="s">
        <v>86</v>
      </c>
      <c r="C31" s="45">
        <v>55</v>
      </c>
      <c r="D31" s="92" t="s">
        <v>254</v>
      </c>
      <c r="E31" s="1"/>
      <c r="F31" s="1"/>
      <c r="G31" s="1"/>
      <c r="H31" s="1"/>
      <c r="I31" s="1"/>
      <c r="J31" s="1"/>
      <c r="K31" s="1"/>
      <c r="L31" s="1"/>
      <c r="M31" s="1"/>
      <c r="N31" s="1"/>
      <c r="O31" s="1"/>
      <c r="P31" s="1"/>
      <c r="Q31" s="1"/>
      <c r="R31" s="1"/>
      <c r="S31" s="1"/>
      <c r="T31" s="1"/>
      <c r="U31" s="1"/>
      <c r="V31" s="1"/>
      <c r="W31" s="1"/>
      <c r="X31" s="1"/>
      <c r="Y31" s="1"/>
      <c r="Z31" s="1"/>
      <c r="AA31" s="1"/>
      <c r="AB31" s="1"/>
      <c r="AC31" s="1"/>
      <c r="AD31" s="2"/>
      <c r="AE31" s="2"/>
      <c r="AF31" s="2"/>
      <c r="AG31" s="2"/>
      <c r="AH31" s="2"/>
      <c r="AI31" s="2"/>
      <c r="AJ31" s="2"/>
      <c r="AK31" s="2"/>
      <c r="AL31" s="2"/>
      <c r="AM31" s="2"/>
      <c r="AN31" s="2"/>
      <c r="AO31" s="2"/>
      <c r="AP31" s="2"/>
      <c r="AQ31" s="2"/>
    </row>
    <row r="32" spans="1:43" ht="22" customHeight="1" x14ac:dyDescent="0.2">
      <c r="A32" s="1"/>
      <c r="B32" s="96" t="s">
        <v>87</v>
      </c>
      <c r="C32" s="45">
        <v>32</v>
      </c>
      <c r="D32" s="92" t="s">
        <v>255</v>
      </c>
      <c r="E32" s="1"/>
      <c r="F32" s="1"/>
      <c r="G32" s="1"/>
      <c r="H32" s="1"/>
      <c r="I32" s="1"/>
      <c r="J32" s="1"/>
      <c r="K32" s="1"/>
      <c r="L32" s="1"/>
      <c r="M32" s="1"/>
      <c r="N32" s="1"/>
      <c r="O32" s="1"/>
      <c r="P32" s="1"/>
      <c r="Q32" s="1"/>
      <c r="R32" s="1"/>
      <c r="S32" s="1"/>
      <c r="T32" s="1"/>
      <c r="U32" s="1"/>
      <c r="V32" s="1"/>
      <c r="W32" s="1"/>
      <c r="X32" s="1"/>
      <c r="Y32" s="1"/>
      <c r="Z32" s="1"/>
      <c r="AA32" s="1"/>
      <c r="AB32" s="1"/>
      <c r="AC32" s="1"/>
      <c r="AD32" s="2"/>
      <c r="AE32" s="2"/>
      <c r="AF32" s="2"/>
      <c r="AG32" s="2"/>
      <c r="AH32" s="2"/>
      <c r="AI32" s="2"/>
      <c r="AJ32" s="2"/>
      <c r="AK32" s="2"/>
      <c r="AL32" s="2"/>
      <c r="AM32" s="2"/>
      <c r="AN32" s="2"/>
      <c r="AO32" s="2"/>
      <c r="AP32" s="2"/>
      <c r="AQ32" s="2"/>
    </row>
    <row r="33" spans="1:43" ht="22" customHeight="1" x14ac:dyDescent="0.2">
      <c r="A33" s="1"/>
      <c r="B33" s="96" t="s">
        <v>256</v>
      </c>
      <c r="C33" s="47">
        <v>30000</v>
      </c>
      <c r="D33" s="92" t="s">
        <v>257</v>
      </c>
      <c r="E33" s="1"/>
      <c r="F33" s="1"/>
      <c r="G33" s="1"/>
      <c r="H33" s="1"/>
      <c r="I33" s="1"/>
      <c r="J33" s="1"/>
      <c r="K33" s="1"/>
      <c r="L33" s="1"/>
      <c r="M33" s="1"/>
      <c r="N33" s="1"/>
      <c r="O33" s="1"/>
      <c r="P33" s="1"/>
      <c r="Q33" s="1"/>
      <c r="R33" s="1"/>
      <c r="S33" s="1"/>
      <c r="T33" s="1"/>
      <c r="U33" s="1"/>
      <c r="V33" s="1"/>
      <c r="W33" s="1"/>
      <c r="X33" s="1"/>
      <c r="Y33" s="1"/>
      <c r="Z33" s="1"/>
      <c r="AA33" s="1"/>
      <c r="AB33" s="1"/>
      <c r="AC33" s="1"/>
      <c r="AD33" s="2"/>
      <c r="AE33" s="2"/>
      <c r="AF33" s="2"/>
      <c r="AG33" s="2"/>
      <c r="AH33" s="2"/>
      <c r="AI33" s="2"/>
      <c r="AJ33" s="2"/>
      <c r="AK33" s="2"/>
      <c r="AL33" s="2"/>
      <c r="AM33" s="2"/>
      <c r="AN33" s="2"/>
      <c r="AO33" s="2"/>
      <c r="AP33" s="2"/>
      <c r="AQ33" s="2"/>
    </row>
    <row r="34" spans="1:43" ht="22" customHeight="1" x14ac:dyDescent="0.2">
      <c r="A34" s="1"/>
      <c r="B34" s="96" t="s">
        <v>258</v>
      </c>
      <c r="C34" s="47">
        <v>24000</v>
      </c>
      <c r="D34" s="92" t="s">
        <v>259</v>
      </c>
      <c r="E34" s="1"/>
      <c r="F34" s="1"/>
      <c r="G34" s="1"/>
      <c r="H34" s="1"/>
      <c r="I34" s="1"/>
      <c r="J34" s="1"/>
      <c r="K34" s="1"/>
      <c r="L34" s="1"/>
      <c r="M34" s="1"/>
      <c r="N34" s="1"/>
      <c r="O34" s="1"/>
      <c r="P34" s="1"/>
      <c r="Q34" s="1"/>
      <c r="R34" s="1"/>
      <c r="S34" s="1"/>
      <c r="T34" s="1"/>
      <c r="U34" s="1"/>
      <c r="V34" s="1"/>
      <c r="W34" s="1"/>
      <c r="X34" s="1"/>
      <c r="Y34" s="1"/>
      <c r="Z34" s="1"/>
      <c r="AA34" s="1"/>
      <c r="AB34" s="1"/>
      <c r="AC34" s="1"/>
      <c r="AD34" s="2"/>
      <c r="AE34" s="2"/>
      <c r="AF34" s="2"/>
      <c r="AG34" s="2"/>
      <c r="AH34" s="2"/>
      <c r="AI34" s="2"/>
      <c r="AJ34" s="2"/>
      <c r="AK34" s="2"/>
      <c r="AL34" s="2"/>
      <c r="AM34" s="2"/>
      <c r="AN34" s="2"/>
      <c r="AO34" s="2"/>
      <c r="AP34" s="2"/>
      <c r="AQ34" s="2"/>
    </row>
    <row r="35" spans="1:43" x14ac:dyDescent="0.2">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2"/>
      <c r="AE35" s="2"/>
      <c r="AF35" s="2"/>
      <c r="AG35" s="2"/>
      <c r="AH35" s="2"/>
      <c r="AI35" s="2"/>
      <c r="AJ35" s="2"/>
      <c r="AK35" s="2"/>
      <c r="AL35" s="2"/>
      <c r="AM35" s="2"/>
      <c r="AN35" s="2"/>
      <c r="AO35" s="2"/>
      <c r="AP35" s="2"/>
      <c r="AQ35" s="2"/>
    </row>
    <row r="36" spans="1:43" ht="22" customHeight="1" x14ac:dyDescent="0.2">
      <c r="A36" s="1"/>
      <c r="B36" s="19" t="s">
        <v>260</v>
      </c>
      <c r="C36" s="15" t="s">
        <v>261</v>
      </c>
      <c r="D36" s="6"/>
      <c r="E36" s="6"/>
      <c r="F36" s="6"/>
      <c r="G36" s="6"/>
      <c r="H36" s="94"/>
      <c r="I36" s="94"/>
      <c r="J36" s="94"/>
      <c r="K36" s="94"/>
      <c r="L36" s="94"/>
      <c r="M36" s="94"/>
      <c r="N36" s="94"/>
      <c r="O36" s="94"/>
      <c r="P36" s="94"/>
      <c r="Q36" s="94"/>
      <c r="R36" s="94"/>
      <c r="S36" s="94"/>
      <c r="T36" s="94"/>
      <c r="U36" s="94"/>
      <c r="V36" s="94"/>
      <c r="W36" s="94"/>
      <c r="X36" s="94"/>
      <c r="Y36" s="94"/>
      <c r="Z36" s="94"/>
      <c r="AA36" s="94"/>
      <c r="AB36" s="94"/>
      <c r="AC36" s="95"/>
      <c r="AD36" s="2"/>
      <c r="AE36" s="2"/>
      <c r="AF36" s="2"/>
      <c r="AG36" s="2"/>
      <c r="AH36" s="2"/>
      <c r="AI36" s="2"/>
      <c r="AJ36" s="2"/>
      <c r="AK36" s="2"/>
      <c r="AL36" s="2"/>
      <c r="AM36" s="2"/>
      <c r="AN36" s="2"/>
      <c r="AO36" s="2"/>
      <c r="AP36" s="2"/>
      <c r="AQ36" s="2"/>
    </row>
    <row r="37" spans="1:43" ht="22" customHeight="1" x14ac:dyDescent="0.2">
      <c r="A37" s="1"/>
      <c r="B37" s="96" t="s">
        <v>262</v>
      </c>
      <c r="C37" s="49">
        <v>8.5000000000000006E-2</v>
      </c>
      <c r="D37" s="92" t="s">
        <v>263</v>
      </c>
      <c r="E37" s="1"/>
      <c r="F37" s="1"/>
      <c r="G37" s="1"/>
      <c r="H37" s="1"/>
      <c r="I37" s="1"/>
      <c r="J37" s="1"/>
      <c r="K37" s="1"/>
      <c r="L37" s="1"/>
      <c r="M37" s="1"/>
      <c r="N37" s="1"/>
      <c r="O37" s="1"/>
      <c r="P37" s="1"/>
      <c r="Q37" s="1"/>
      <c r="R37" s="1"/>
      <c r="S37" s="1"/>
      <c r="T37" s="1"/>
      <c r="U37" s="1"/>
      <c r="V37" s="1"/>
      <c r="W37" s="1"/>
      <c r="X37" s="1"/>
      <c r="Y37" s="1"/>
      <c r="Z37" s="1"/>
      <c r="AA37" s="1"/>
      <c r="AB37" s="1"/>
      <c r="AC37" s="1"/>
      <c r="AD37" s="2"/>
      <c r="AE37" s="2"/>
      <c r="AF37" s="2"/>
      <c r="AG37" s="2"/>
      <c r="AH37" s="2"/>
      <c r="AI37" s="2"/>
      <c r="AJ37" s="2"/>
      <c r="AK37" s="2"/>
      <c r="AL37" s="2"/>
      <c r="AM37" s="2"/>
      <c r="AN37" s="2"/>
      <c r="AO37" s="2"/>
      <c r="AP37" s="2"/>
      <c r="AQ37" s="2"/>
    </row>
    <row r="38" spans="1:43" ht="22" customHeight="1" x14ac:dyDescent="0.2">
      <c r="A38" s="1"/>
      <c r="B38" s="96" t="s">
        <v>264</v>
      </c>
      <c r="C38" s="51">
        <v>7</v>
      </c>
      <c r="D38" s="92" t="s">
        <v>265</v>
      </c>
      <c r="E38" s="1"/>
      <c r="F38" s="1"/>
      <c r="G38" s="1"/>
      <c r="H38" s="1"/>
      <c r="I38" s="1"/>
      <c r="J38" s="1"/>
      <c r="K38" s="1"/>
      <c r="L38" s="1"/>
      <c r="M38" s="1"/>
      <c r="N38" s="1"/>
      <c r="O38" s="1"/>
      <c r="P38" s="1"/>
      <c r="Q38" s="1"/>
      <c r="R38" s="1"/>
      <c r="S38" s="1"/>
      <c r="T38" s="1"/>
      <c r="U38" s="1"/>
      <c r="V38" s="1"/>
      <c r="W38" s="1"/>
      <c r="X38" s="1"/>
      <c r="Y38" s="1"/>
      <c r="Z38" s="1"/>
      <c r="AA38" s="1"/>
      <c r="AB38" s="1"/>
      <c r="AC38" s="1"/>
      <c r="AD38" s="2"/>
      <c r="AE38" s="2"/>
      <c r="AF38" s="2"/>
      <c r="AG38" s="2"/>
      <c r="AH38" s="2"/>
      <c r="AI38" s="2"/>
      <c r="AJ38" s="2"/>
      <c r="AK38" s="2"/>
      <c r="AL38" s="2"/>
      <c r="AM38" s="2"/>
      <c r="AN38" s="2"/>
      <c r="AO38" s="2"/>
      <c r="AP38" s="2"/>
      <c r="AQ38" s="2"/>
    </row>
    <row r="39" spans="1:43" ht="22" customHeight="1" x14ac:dyDescent="0.2">
      <c r="A39" s="1"/>
      <c r="B39" s="96" t="s">
        <v>266</v>
      </c>
      <c r="C39" s="47">
        <v>145000</v>
      </c>
      <c r="D39" s="92" t="s">
        <v>267</v>
      </c>
      <c r="E39" s="1"/>
      <c r="F39" s="1"/>
      <c r="G39" s="1"/>
      <c r="H39" s="1"/>
      <c r="I39" s="1"/>
      <c r="J39" s="1"/>
      <c r="K39" s="1"/>
      <c r="L39" s="1"/>
      <c r="M39" s="1"/>
      <c r="N39" s="1"/>
      <c r="O39" s="1"/>
      <c r="P39" s="1"/>
      <c r="Q39" s="1"/>
      <c r="R39" s="1"/>
      <c r="S39" s="1"/>
      <c r="T39" s="1"/>
      <c r="U39" s="1"/>
      <c r="V39" s="1"/>
      <c r="W39" s="1"/>
      <c r="X39" s="1"/>
      <c r="Y39" s="1"/>
      <c r="Z39" s="1"/>
      <c r="AA39" s="1"/>
      <c r="AB39" s="1"/>
      <c r="AC39" s="1"/>
      <c r="AD39" s="2"/>
      <c r="AE39" s="2"/>
      <c r="AF39" s="2"/>
      <c r="AG39" s="2"/>
      <c r="AH39" s="2"/>
      <c r="AI39" s="2"/>
      <c r="AJ39" s="2"/>
      <c r="AK39" s="2"/>
      <c r="AL39" s="2"/>
      <c r="AM39" s="2"/>
      <c r="AN39" s="2"/>
      <c r="AO39" s="2"/>
      <c r="AP39" s="2"/>
      <c r="AQ39" s="2"/>
    </row>
    <row r="40" spans="1:43" ht="22" customHeight="1" x14ac:dyDescent="0.2">
      <c r="A40" s="1"/>
      <c r="B40" s="96" t="s">
        <v>268</v>
      </c>
      <c r="C40" s="54">
        <v>0.25</v>
      </c>
      <c r="D40" s="92" t="s">
        <v>269</v>
      </c>
      <c r="E40" s="1"/>
      <c r="F40" s="1"/>
      <c r="G40" s="1"/>
      <c r="H40" s="1"/>
      <c r="I40" s="1"/>
      <c r="J40" s="1"/>
      <c r="K40" s="1"/>
      <c r="L40" s="1"/>
      <c r="M40" s="1"/>
      <c r="N40" s="1"/>
      <c r="O40" s="1"/>
      <c r="P40" s="1"/>
      <c r="Q40" s="1"/>
      <c r="R40" s="1"/>
      <c r="S40" s="1"/>
      <c r="T40" s="1"/>
      <c r="U40" s="1"/>
      <c r="V40" s="1"/>
      <c r="W40" s="1"/>
      <c r="X40" s="1"/>
      <c r="Y40" s="1"/>
      <c r="Z40" s="1"/>
      <c r="AA40" s="1"/>
      <c r="AB40" s="1"/>
      <c r="AC40" s="1"/>
      <c r="AD40" s="2"/>
      <c r="AE40" s="2"/>
      <c r="AF40" s="2"/>
      <c r="AG40" s="2"/>
      <c r="AH40" s="2"/>
      <c r="AI40" s="2"/>
      <c r="AJ40" s="2"/>
      <c r="AK40" s="2"/>
      <c r="AL40" s="2"/>
      <c r="AM40" s="2"/>
      <c r="AN40" s="2"/>
      <c r="AO40" s="2"/>
      <c r="AP40" s="2"/>
      <c r="AQ40" s="2"/>
    </row>
    <row r="41" spans="1:43" ht="22" customHeight="1" x14ac:dyDescent="0.2">
      <c r="A41" s="1"/>
      <c r="B41" s="96" t="s">
        <v>270</v>
      </c>
      <c r="C41" s="48">
        <v>3</v>
      </c>
      <c r="D41" s="92" t="s">
        <v>271</v>
      </c>
      <c r="E41" s="1"/>
      <c r="F41" s="1"/>
      <c r="G41" s="1"/>
      <c r="H41" s="1"/>
      <c r="I41" s="1"/>
      <c r="J41" s="1"/>
      <c r="K41" s="1"/>
      <c r="L41" s="1"/>
      <c r="M41" s="1"/>
      <c r="N41" s="1"/>
      <c r="O41" s="1"/>
      <c r="P41" s="1"/>
      <c r="Q41" s="1"/>
      <c r="R41" s="1"/>
      <c r="S41" s="1"/>
      <c r="T41" s="1"/>
      <c r="U41" s="1"/>
      <c r="V41" s="1"/>
      <c r="W41" s="1"/>
      <c r="X41" s="1"/>
      <c r="Y41" s="1"/>
      <c r="Z41" s="1"/>
      <c r="AA41" s="1"/>
      <c r="AB41" s="1"/>
      <c r="AC41" s="1"/>
      <c r="AD41" s="2"/>
      <c r="AE41" s="2"/>
      <c r="AF41" s="2"/>
      <c r="AG41" s="2"/>
      <c r="AH41" s="2"/>
      <c r="AI41" s="2"/>
      <c r="AJ41" s="2"/>
      <c r="AK41" s="2"/>
      <c r="AL41" s="2"/>
      <c r="AM41" s="2"/>
      <c r="AN41" s="2"/>
      <c r="AO41" s="2"/>
      <c r="AP41" s="2"/>
      <c r="AQ41" s="2"/>
    </row>
    <row r="42" spans="1:43" ht="22" customHeight="1" x14ac:dyDescent="0.2">
      <c r="A42" s="1"/>
      <c r="B42" s="96" t="s">
        <v>272</v>
      </c>
      <c r="C42" s="48">
        <v>1.25</v>
      </c>
      <c r="D42" s="92" t="s">
        <v>273</v>
      </c>
      <c r="E42" s="1"/>
      <c r="F42" s="1"/>
      <c r="G42" s="1"/>
      <c r="H42" s="1"/>
      <c r="I42" s="1"/>
      <c r="J42" s="1"/>
      <c r="K42" s="1"/>
      <c r="L42" s="1"/>
      <c r="M42" s="1"/>
      <c r="N42" s="1"/>
      <c r="O42" s="1"/>
      <c r="P42" s="1"/>
      <c r="Q42" s="1"/>
      <c r="R42" s="1"/>
      <c r="S42" s="1"/>
      <c r="T42" s="1"/>
      <c r="U42" s="1"/>
      <c r="V42" s="1"/>
      <c r="W42" s="1"/>
      <c r="X42" s="1"/>
      <c r="Y42" s="1"/>
      <c r="Z42" s="1"/>
      <c r="AA42" s="1"/>
      <c r="AB42" s="1"/>
      <c r="AC42" s="1"/>
      <c r="AD42" s="2"/>
      <c r="AE42" s="2"/>
      <c r="AF42" s="2"/>
      <c r="AG42" s="2"/>
      <c r="AH42" s="2"/>
      <c r="AI42" s="2"/>
      <c r="AJ42" s="2"/>
      <c r="AK42" s="2"/>
      <c r="AL42" s="2"/>
      <c r="AM42" s="2"/>
      <c r="AN42" s="2"/>
      <c r="AO42" s="2"/>
      <c r="AP42" s="2"/>
      <c r="AQ42" s="2"/>
    </row>
    <row r="43" spans="1:43" x14ac:dyDescent="0.2">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2"/>
      <c r="AE43" s="2"/>
      <c r="AF43" s="2"/>
      <c r="AG43" s="2"/>
      <c r="AH43" s="2"/>
      <c r="AI43" s="2"/>
      <c r="AJ43" s="2"/>
      <c r="AK43" s="2"/>
      <c r="AL43" s="2"/>
      <c r="AM43" s="2"/>
      <c r="AN43" s="2"/>
      <c r="AO43" s="2"/>
      <c r="AP43" s="2"/>
      <c r="AQ43" s="2"/>
    </row>
    <row r="44" spans="1:43" ht="22" customHeight="1" x14ac:dyDescent="0.2">
      <c r="A44" s="1"/>
      <c r="B44" s="19" t="s">
        <v>274</v>
      </c>
      <c r="C44" s="15" t="s">
        <v>275</v>
      </c>
      <c r="D44" s="6"/>
      <c r="E44" s="6"/>
      <c r="F44" s="6"/>
      <c r="G44" s="6"/>
      <c r="H44" s="94"/>
      <c r="I44" s="94"/>
      <c r="J44" s="94"/>
      <c r="K44" s="94"/>
      <c r="L44" s="94"/>
      <c r="M44" s="94"/>
      <c r="N44" s="94"/>
      <c r="O44" s="94"/>
      <c r="P44" s="94"/>
      <c r="Q44" s="94"/>
      <c r="R44" s="94"/>
      <c r="S44" s="94"/>
      <c r="T44" s="94"/>
      <c r="U44" s="94"/>
      <c r="V44" s="94"/>
      <c r="W44" s="94"/>
      <c r="X44" s="94"/>
      <c r="Y44" s="94"/>
      <c r="Z44" s="94"/>
      <c r="AA44" s="94"/>
      <c r="AB44" s="94"/>
      <c r="AC44" s="95"/>
      <c r="AD44" s="2"/>
      <c r="AE44" s="2"/>
      <c r="AF44" s="2"/>
      <c r="AG44" s="2"/>
      <c r="AH44" s="2"/>
      <c r="AI44" s="2"/>
      <c r="AJ44" s="2"/>
      <c r="AK44" s="2"/>
      <c r="AL44" s="2"/>
      <c r="AM44" s="2"/>
      <c r="AN44" s="2"/>
      <c r="AO44" s="2"/>
      <c r="AP44" s="2"/>
      <c r="AQ44" s="2"/>
    </row>
    <row r="45" spans="1:43" ht="22" customHeight="1" x14ac:dyDescent="0.2">
      <c r="A45" s="1"/>
      <c r="B45" s="27"/>
      <c r="C45" s="1"/>
      <c r="D45" s="27" t="s">
        <v>276</v>
      </c>
      <c r="E45" s="28" t="s">
        <v>44</v>
      </c>
      <c r="F45" s="28" t="s">
        <v>45</v>
      </c>
      <c r="G45" s="28" t="s">
        <v>46</v>
      </c>
      <c r="H45" s="28" t="s">
        <v>47</v>
      </c>
      <c r="I45" s="28" t="s">
        <v>48</v>
      </c>
      <c r="J45" s="28" t="s">
        <v>49</v>
      </c>
      <c r="K45" s="28" t="s">
        <v>50</v>
      </c>
      <c r="L45" s="28" t="s">
        <v>51</v>
      </c>
      <c r="M45" s="28" t="s">
        <v>52</v>
      </c>
      <c r="N45" s="28" t="s">
        <v>53</v>
      </c>
      <c r="O45" s="28" t="s">
        <v>54</v>
      </c>
      <c r="P45" s="28" t="s">
        <v>55</v>
      </c>
      <c r="Q45" s="28" t="s">
        <v>56</v>
      </c>
      <c r="R45" s="28" t="s">
        <v>57</v>
      </c>
      <c r="S45" s="28" t="s">
        <v>58</v>
      </c>
      <c r="T45" s="28" t="s">
        <v>59</v>
      </c>
      <c r="U45" s="28" t="s">
        <v>60</v>
      </c>
      <c r="V45" s="28" t="s">
        <v>61</v>
      </c>
      <c r="W45" s="28" t="s">
        <v>62</v>
      </c>
      <c r="X45" s="28" t="s">
        <v>63</v>
      </c>
      <c r="Y45" s="28" t="s">
        <v>64</v>
      </c>
      <c r="Z45" s="28" t="s">
        <v>65</v>
      </c>
      <c r="AA45" s="28" t="s">
        <v>66</v>
      </c>
      <c r="AB45" s="28" t="s">
        <v>67</v>
      </c>
      <c r="AC45" s="28" t="s">
        <v>41</v>
      </c>
      <c r="AD45" s="2"/>
      <c r="AE45" s="2"/>
      <c r="AF45" s="2"/>
      <c r="AG45" s="2"/>
      <c r="AH45" s="2"/>
      <c r="AI45" s="2"/>
      <c r="AJ45" s="2"/>
      <c r="AK45" s="2"/>
      <c r="AL45" s="2"/>
      <c r="AM45" s="2"/>
      <c r="AN45" s="2"/>
      <c r="AO45" s="2"/>
      <c r="AP45" s="2"/>
      <c r="AQ45" s="2"/>
    </row>
    <row r="46" spans="1:43" ht="20" customHeight="1" x14ac:dyDescent="0.2">
      <c r="A46" s="1"/>
      <c r="B46" s="96" t="s">
        <v>277</v>
      </c>
      <c r="C46" s="46" t="s">
        <v>395</v>
      </c>
      <c r="D46" s="92" t="s">
        <v>279</v>
      </c>
      <c r="E46" s="1"/>
      <c r="F46" s="1"/>
      <c r="G46" s="1"/>
      <c r="H46" s="1"/>
      <c r="I46" s="1"/>
      <c r="J46" s="1"/>
      <c r="K46" s="1"/>
      <c r="L46" s="1"/>
      <c r="M46" s="1"/>
      <c r="N46" s="1"/>
      <c r="O46" s="1"/>
      <c r="P46" s="1"/>
      <c r="Q46" s="1"/>
      <c r="R46" s="1"/>
      <c r="S46" s="1"/>
      <c r="T46" s="1"/>
      <c r="U46" s="1"/>
      <c r="V46" s="1"/>
      <c r="W46" s="1"/>
      <c r="X46" s="1"/>
      <c r="Y46" s="1"/>
      <c r="Z46" s="1"/>
      <c r="AA46" s="1"/>
      <c r="AB46" s="1"/>
      <c r="AC46" s="1"/>
      <c r="AD46" s="2"/>
      <c r="AE46" s="2"/>
      <c r="AF46" s="2"/>
      <c r="AG46" s="2"/>
      <c r="AH46" s="2"/>
      <c r="AI46" s="2"/>
      <c r="AJ46" s="2"/>
      <c r="AK46" s="2"/>
      <c r="AL46" s="2"/>
      <c r="AM46" s="2"/>
      <c r="AN46" s="2"/>
      <c r="AO46" s="2"/>
      <c r="AP46" s="2"/>
      <c r="AQ46" s="2"/>
    </row>
    <row r="47" spans="1:43" x14ac:dyDescent="0.2">
      <c r="A47" s="1"/>
      <c r="B47" s="97" t="s">
        <v>280</v>
      </c>
      <c r="C47" s="49">
        <v>0.36</v>
      </c>
      <c r="D47" s="92" t="s">
        <v>281</v>
      </c>
      <c r="E47" s="1"/>
      <c r="F47" s="1"/>
      <c r="G47" s="1"/>
      <c r="H47" s="1"/>
      <c r="I47" s="1"/>
      <c r="J47" s="1"/>
      <c r="K47" s="1"/>
      <c r="L47" s="1"/>
      <c r="M47" s="1"/>
      <c r="N47" s="1"/>
      <c r="O47" s="1"/>
      <c r="P47" s="1"/>
      <c r="Q47" s="1"/>
      <c r="R47" s="1"/>
      <c r="S47" s="1"/>
      <c r="T47" s="1"/>
      <c r="U47" s="1"/>
      <c r="V47" s="1"/>
      <c r="W47" s="1"/>
      <c r="X47" s="1"/>
      <c r="Y47" s="1"/>
      <c r="Z47" s="1"/>
      <c r="AA47" s="1"/>
      <c r="AB47" s="1"/>
      <c r="AC47" s="1"/>
      <c r="AD47" s="2"/>
      <c r="AE47" s="2"/>
      <c r="AF47" s="2"/>
      <c r="AG47" s="2"/>
      <c r="AH47" s="2"/>
      <c r="AI47" s="2"/>
      <c r="AJ47" s="2"/>
      <c r="AK47" s="2"/>
      <c r="AL47" s="2"/>
      <c r="AM47" s="2"/>
      <c r="AN47" s="2"/>
      <c r="AO47" s="2"/>
      <c r="AP47" s="2"/>
      <c r="AQ47" s="2"/>
    </row>
    <row r="48" spans="1:43" ht="20" customHeight="1" x14ac:dyDescent="0.2">
      <c r="A48" s="1"/>
      <c r="B48" s="96" t="s">
        <v>282</v>
      </c>
      <c r="C48" s="1"/>
      <c r="D48" s="1"/>
      <c r="E48" s="47">
        <v>90000</v>
      </c>
      <c r="F48" s="47">
        <v>90000</v>
      </c>
      <c r="G48" s="47">
        <v>92000</v>
      </c>
      <c r="H48" s="47">
        <v>95000</v>
      </c>
      <c r="I48" s="47">
        <v>98000</v>
      </c>
      <c r="J48" s="47">
        <v>100000</v>
      </c>
      <c r="K48" s="47">
        <v>102000</v>
      </c>
      <c r="L48" s="47">
        <v>105000</v>
      </c>
      <c r="M48" s="47">
        <v>108000</v>
      </c>
      <c r="N48" s="47">
        <v>110000</v>
      </c>
      <c r="O48" s="47">
        <v>112000</v>
      </c>
      <c r="P48" s="47">
        <v>115000</v>
      </c>
      <c r="Q48" s="47">
        <v>118000</v>
      </c>
      <c r="R48" s="47">
        <v>120000</v>
      </c>
      <c r="S48" s="47">
        <v>122000</v>
      </c>
      <c r="T48" s="47">
        <v>125000</v>
      </c>
      <c r="U48" s="47">
        <v>128000</v>
      </c>
      <c r="V48" s="47">
        <v>130000</v>
      </c>
      <c r="W48" s="47">
        <v>132000</v>
      </c>
      <c r="X48" s="47">
        <v>135000</v>
      </c>
      <c r="Y48" s="47">
        <v>135000</v>
      </c>
      <c r="Z48" s="47">
        <v>135000</v>
      </c>
      <c r="AA48" s="47">
        <v>135000</v>
      </c>
      <c r="AB48" s="47">
        <v>135000</v>
      </c>
      <c r="AC48" s="29">
        <f>SUM(E48:P48)</f>
        <v>1217000</v>
      </c>
      <c r="AD48" s="2"/>
      <c r="AE48" s="2"/>
      <c r="AF48" s="2"/>
      <c r="AG48" s="2"/>
      <c r="AH48" s="2"/>
      <c r="AI48" s="2"/>
      <c r="AJ48" s="2"/>
      <c r="AK48" s="2"/>
      <c r="AL48" s="2"/>
      <c r="AM48" s="2"/>
      <c r="AN48" s="2"/>
      <c r="AO48" s="2"/>
      <c r="AP48" s="2"/>
      <c r="AQ48" s="2"/>
    </row>
    <row r="49" spans="1:43" x14ac:dyDescent="0.2">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2"/>
      <c r="AE49" s="2"/>
      <c r="AF49" s="2"/>
      <c r="AG49" s="2"/>
      <c r="AH49" s="2"/>
      <c r="AI49" s="2"/>
      <c r="AJ49" s="2"/>
      <c r="AK49" s="2"/>
      <c r="AL49" s="2"/>
      <c r="AM49" s="2"/>
      <c r="AN49" s="2"/>
      <c r="AO49" s="2"/>
      <c r="AP49" s="2"/>
      <c r="AQ49" s="2"/>
    </row>
    <row r="50" spans="1:43" ht="20" customHeight="1" x14ac:dyDescent="0.2">
      <c r="A50" s="1"/>
      <c r="B50" s="96" t="s">
        <v>283</v>
      </c>
      <c r="C50" s="46" t="s">
        <v>396</v>
      </c>
      <c r="D50" s="92" t="s">
        <v>279</v>
      </c>
      <c r="E50" s="1"/>
      <c r="F50" s="1"/>
      <c r="G50" s="1"/>
      <c r="H50" s="1"/>
      <c r="I50" s="1"/>
      <c r="J50" s="1"/>
      <c r="K50" s="1"/>
      <c r="L50" s="1"/>
      <c r="M50" s="1"/>
      <c r="N50" s="1"/>
      <c r="O50" s="1"/>
      <c r="P50" s="1"/>
      <c r="Q50" s="1"/>
      <c r="R50" s="1"/>
      <c r="S50" s="1"/>
      <c r="T50" s="1"/>
      <c r="U50" s="1"/>
      <c r="V50" s="1"/>
      <c r="W50" s="1"/>
      <c r="X50" s="1"/>
      <c r="Y50" s="1"/>
      <c r="Z50" s="1"/>
      <c r="AA50" s="1"/>
      <c r="AB50" s="1"/>
      <c r="AC50" s="1"/>
      <c r="AD50" s="2"/>
      <c r="AE50" s="2"/>
      <c r="AF50" s="2"/>
      <c r="AG50" s="2"/>
      <c r="AH50" s="2"/>
      <c r="AI50" s="2"/>
      <c r="AJ50" s="2"/>
      <c r="AK50" s="2"/>
      <c r="AL50" s="2"/>
      <c r="AM50" s="2"/>
      <c r="AN50" s="2"/>
      <c r="AO50" s="2"/>
      <c r="AP50" s="2"/>
      <c r="AQ50" s="2"/>
    </row>
    <row r="51" spans="1:43" x14ac:dyDescent="0.2">
      <c r="A51" s="1"/>
      <c r="B51" s="97" t="s">
        <v>280</v>
      </c>
      <c r="C51" s="49">
        <v>0.45</v>
      </c>
      <c r="D51" s="92" t="s">
        <v>281</v>
      </c>
      <c r="E51" s="1"/>
      <c r="F51" s="1"/>
      <c r="G51" s="1"/>
      <c r="H51" s="1"/>
      <c r="I51" s="1"/>
      <c r="J51" s="1"/>
      <c r="K51" s="1"/>
      <c r="L51" s="1"/>
      <c r="M51" s="1"/>
      <c r="N51" s="1"/>
      <c r="O51" s="1"/>
      <c r="P51" s="1"/>
      <c r="Q51" s="1"/>
      <c r="R51" s="1"/>
      <c r="S51" s="1"/>
      <c r="T51" s="1"/>
      <c r="U51" s="1"/>
      <c r="V51" s="1"/>
      <c r="W51" s="1"/>
      <c r="X51" s="1"/>
      <c r="Y51" s="1"/>
      <c r="Z51" s="1"/>
      <c r="AA51" s="1"/>
      <c r="AB51" s="1"/>
      <c r="AC51" s="1"/>
      <c r="AD51" s="2"/>
      <c r="AE51" s="2"/>
      <c r="AF51" s="2"/>
      <c r="AG51" s="2"/>
      <c r="AH51" s="2"/>
      <c r="AI51" s="2"/>
      <c r="AJ51" s="2"/>
      <c r="AK51" s="2"/>
      <c r="AL51" s="2"/>
      <c r="AM51" s="2"/>
      <c r="AN51" s="2"/>
      <c r="AO51" s="2"/>
      <c r="AP51" s="2"/>
      <c r="AQ51" s="2"/>
    </row>
    <row r="52" spans="1:43" ht="20" customHeight="1" x14ac:dyDescent="0.2">
      <c r="A52" s="1"/>
      <c r="B52" s="96" t="s">
        <v>282</v>
      </c>
      <c r="C52" s="1"/>
      <c r="D52" s="1"/>
      <c r="E52" s="47">
        <v>140000</v>
      </c>
      <c r="F52" s="47">
        <v>150000</v>
      </c>
      <c r="G52" s="47">
        <v>160000</v>
      </c>
      <c r="H52" s="47">
        <v>170000</v>
      </c>
      <c r="I52" s="47">
        <v>180000</v>
      </c>
      <c r="J52" s="47">
        <v>170000</v>
      </c>
      <c r="K52" s="47">
        <v>160000</v>
      </c>
      <c r="L52" s="47">
        <v>155000</v>
      </c>
      <c r="M52" s="47">
        <v>165000</v>
      </c>
      <c r="N52" s="47">
        <v>175000</v>
      </c>
      <c r="O52" s="47">
        <v>180000</v>
      </c>
      <c r="P52" s="47">
        <v>175000</v>
      </c>
      <c r="Q52" s="47">
        <v>165000</v>
      </c>
      <c r="R52" s="47">
        <v>175000</v>
      </c>
      <c r="S52" s="47">
        <v>185000</v>
      </c>
      <c r="T52" s="47">
        <v>195000</v>
      </c>
      <c r="U52" s="47">
        <v>200000</v>
      </c>
      <c r="V52" s="47">
        <v>195000</v>
      </c>
      <c r="W52" s="47">
        <v>185000</v>
      </c>
      <c r="X52" s="47">
        <v>180000</v>
      </c>
      <c r="Y52" s="47">
        <v>190000</v>
      </c>
      <c r="Z52" s="47">
        <v>200000</v>
      </c>
      <c r="AA52" s="47">
        <v>205000</v>
      </c>
      <c r="AB52" s="47">
        <v>200000</v>
      </c>
      <c r="AC52" s="29">
        <f>SUM(E52:P52)</f>
        <v>1980000</v>
      </c>
      <c r="AD52" s="2"/>
      <c r="AE52" s="2"/>
      <c r="AF52" s="2"/>
      <c r="AG52" s="2"/>
      <c r="AH52" s="2"/>
      <c r="AI52" s="2"/>
      <c r="AJ52" s="2"/>
      <c r="AK52" s="2"/>
      <c r="AL52" s="2"/>
      <c r="AM52" s="2"/>
      <c r="AN52" s="2"/>
      <c r="AO52" s="2"/>
      <c r="AP52" s="2"/>
      <c r="AQ52" s="2"/>
    </row>
    <row r="53" spans="1:43" x14ac:dyDescent="0.2">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2"/>
      <c r="AE53" s="2"/>
      <c r="AF53" s="2"/>
      <c r="AG53" s="2"/>
      <c r="AH53" s="2"/>
      <c r="AI53" s="2"/>
      <c r="AJ53" s="2"/>
      <c r="AK53" s="2"/>
      <c r="AL53" s="2"/>
      <c r="AM53" s="2"/>
      <c r="AN53" s="2"/>
      <c r="AO53" s="2"/>
      <c r="AP53" s="2"/>
      <c r="AQ53" s="2"/>
    </row>
    <row r="54" spans="1:43" ht="20" customHeight="1" x14ac:dyDescent="0.2">
      <c r="A54" s="1"/>
      <c r="B54" s="96" t="s">
        <v>285</v>
      </c>
      <c r="C54" s="46" t="s">
        <v>397</v>
      </c>
      <c r="D54" s="92" t="s">
        <v>279</v>
      </c>
      <c r="E54" s="1"/>
      <c r="F54" s="1"/>
      <c r="G54" s="1"/>
      <c r="H54" s="1"/>
      <c r="I54" s="1"/>
      <c r="J54" s="1"/>
      <c r="K54" s="1"/>
      <c r="L54" s="1"/>
      <c r="M54" s="1"/>
      <c r="N54" s="1"/>
      <c r="O54" s="1"/>
      <c r="P54" s="1"/>
      <c r="Q54" s="1"/>
      <c r="R54" s="1"/>
      <c r="S54" s="1"/>
      <c r="T54" s="1"/>
      <c r="U54" s="1"/>
      <c r="V54" s="1"/>
      <c r="W54" s="1"/>
      <c r="X54" s="1"/>
      <c r="Y54" s="1"/>
      <c r="Z54" s="1"/>
      <c r="AA54" s="1"/>
      <c r="AB54" s="1"/>
      <c r="AC54" s="1"/>
      <c r="AD54" s="2"/>
      <c r="AE54" s="2"/>
      <c r="AF54" s="2"/>
      <c r="AG54" s="2"/>
      <c r="AH54" s="2"/>
      <c r="AI54" s="2"/>
      <c r="AJ54" s="2"/>
      <c r="AK54" s="2"/>
      <c r="AL54" s="2"/>
      <c r="AM54" s="2"/>
      <c r="AN54" s="2"/>
      <c r="AO54" s="2"/>
      <c r="AP54" s="2"/>
      <c r="AQ54" s="2"/>
    </row>
    <row r="55" spans="1:43" x14ac:dyDescent="0.2">
      <c r="A55" s="1"/>
      <c r="B55" s="97" t="s">
        <v>280</v>
      </c>
      <c r="C55" s="49">
        <v>0.32</v>
      </c>
      <c r="D55" s="92" t="s">
        <v>281</v>
      </c>
      <c r="E55" s="1"/>
      <c r="F55" s="1"/>
      <c r="G55" s="1"/>
      <c r="H55" s="1"/>
      <c r="I55" s="1"/>
      <c r="J55" s="1"/>
      <c r="K55" s="1"/>
      <c r="L55" s="1"/>
      <c r="M55" s="1"/>
      <c r="N55" s="1"/>
      <c r="O55" s="1"/>
      <c r="P55" s="1"/>
      <c r="Q55" s="1"/>
      <c r="R55" s="1"/>
      <c r="S55" s="1"/>
      <c r="T55" s="1"/>
      <c r="U55" s="1"/>
      <c r="V55" s="1"/>
      <c r="W55" s="1"/>
      <c r="X55" s="1"/>
      <c r="Y55" s="1"/>
      <c r="Z55" s="1"/>
      <c r="AA55" s="1"/>
      <c r="AB55" s="1"/>
      <c r="AC55" s="1"/>
      <c r="AD55" s="2"/>
      <c r="AE55" s="2"/>
      <c r="AF55" s="2"/>
      <c r="AG55" s="2"/>
      <c r="AH55" s="2"/>
      <c r="AI55" s="2"/>
      <c r="AJ55" s="2"/>
      <c r="AK55" s="2"/>
      <c r="AL55" s="2"/>
      <c r="AM55" s="2"/>
      <c r="AN55" s="2"/>
      <c r="AO55" s="2"/>
      <c r="AP55" s="2"/>
      <c r="AQ55" s="2"/>
    </row>
    <row r="56" spans="1:43" ht="20" customHeight="1" x14ac:dyDescent="0.2">
      <c r="A56" s="1"/>
      <c r="B56" s="96" t="s">
        <v>282</v>
      </c>
      <c r="C56" s="1"/>
      <c r="D56" s="1"/>
      <c r="E56" s="47">
        <v>60000</v>
      </c>
      <c r="F56" s="47">
        <v>65000</v>
      </c>
      <c r="G56" s="47">
        <v>70000</v>
      </c>
      <c r="H56" s="47">
        <v>73000</v>
      </c>
      <c r="I56" s="47">
        <v>75000</v>
      </c>
      <c r="J56" s="47">
        <v>78000</v>
      </c>
      <c r="K56" s="47">
        <v>80000</v>
      </c>
      <c r="L56" s="47">
        <v>82000</v>
      </c>
      <c r="M56" s="47">
        <v>85000</v>
      </c>
      <c r="N56" s="47">
        <v>88000</v>
      </c>
      <c r="O56" s="47">
        <v>92000</v>
      </c>
      <c r="P56" s="47">
        <v>95000</v>
      </c>
      <c r="Q56" s="47">
        <v>98000</v>
      </c>
      <c r="R56" s="47">
        <v>100000</v>
      </c>
      <c r="S56" s="47">
        <v>102000</v>
      </c>
      <c r="T56" s="47">
        <v>105000</v>
      </c>
      <c r="U56" s="47">
        <v>108000</v>
      </c>
      <c r="V56" s="47">
        <v>110000</v>
      </c>
      <c r="W56" s="47">
        <v>112000</v>
      </c>
      <c r="X56" s="47">
        <v>115000</v>
      </c>
      <c r="Y56" s="47">
        <v>115000</v>
      </c>
      <c r="Z56" s="47">
        <v>115000</v>
      </c>
      <c r="AA56" s="47">
        <v>115000</v>
      </c>
      <c r="AB56" s="47">
        <v>115000</v>
      </c>
      <c r="AC56" s="29">
        <f>SUM(E56:P56)</f>
        <v>943000</v>
      </c>
      <c r="AD56" s="2"/>
      <c r="AE56" s="2"/>
      <c r="AF56" s="2"/>
      <c r="AG56" s="2"/>
      <c r="AH56" s="2"/>
      <c r="AI56" s="2"/>
      <c r="AJ56" s="2"/>
      <c r="AK56" s="2"/>
      <c r="AL56" s="2"/>
      <c r="AM56" s="2"/>
      <c r="AN56" s="2"/>
      <c r="AO56" s="2"/>
      <c r="AP56" s="2"/>
      <c r="AQ56" s="2"/>
    </row>
    <row r="57" spans="1:43" x14ac:dyDescent="0.2">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2"/>
      <c r="AE57" s="2"/>
      <c r="AF57" s="2"/>
      <c r="AG57" s="2"/>
      <c r="AH57" s="2"/>
      <c r="AI57" s="2"/>
      <c r="AJ57" s="2"/>
      <c r="AK57" s="2"/>
      <c r="AL57" s="2"/>
      <c r="AM57" s="2"/>
      <c r="AN57" s="2"/>
      <c r="AO57" s="2"/>
      <c r="AP57" s="2"/>
      <c r="AQ57" s="2"/>
    </row>
    <row r="58" spans="1:43" ht="20" customHeight="1" x14ac:dyDescent="0.2">
      <c r="A58" s="1"/>
      <c r="B58" s="96" t="s">
        <v>287</v>
      </c>
      <c r="C58" s="46" t="s">
        <v>398</v>
      </c>
      <c r="D58" s="92" t="s">
        <v>279</v>
      </c>
      <c r="E58" s="1"/>
      <c r="F58" s="1"/>
      <c r="G58" s="1"/>
      <c r="H58" s="1"/>
      <c r="I58" s="1"/>
      <c r="J58" s="1"/>
      <c r="K58" s="1"/>
      <c r="L58" s="1"/>
      <c r="M58" s="1"/>
      <c r="N58" s="1"/>
      <c r="O58" s="1"/>
      <c r="P58" s="1"/>
      <c r="Q58" s="1"/>
      <c r="R58" s="1"/>
      <c r="S58" s="1"/>
      <c r="T58" s="1"/>
      <c r="U58" s="1"/>
      <c r="V58" s="1"/>
      <c r="W58" s="1"/>
      <c r="X58" s="1"/>
      <c r="Y58" s="1"/>
      <c r="Z58" s="1"/>
      <c r="AA58" s="1"/>
      <c r="AB58" s="1"/>
      <c r="AC58" s="1"/>
      <c r="AD58" s="2"/>
      <c r="AE58" s="2"/>
      <c r="AF58" s="2"/>
      <c r="AG58" s="2"/>
      <c r="AH58" s="2"/>
      <c r="AI58" s="2"/>
      <c r="AJ58" s="2"/>
      <c r="AK58" s="2"/>
      <c r="AL58" s="2"/>
      <c r="AM58" s="2"/>
      <c r="AN58" s="2"/>
      <c r="AO58" s="2"/>
      <c r="AP58" s="2"/>
      <c r="AQ58" s="2"/>
    </row>
    <row r="59" spans="1:43" x14ac:dyDescent="0.2">
      <c r="A59" s="1"/>
      <c r="B59" s="97" t="s">
        <v>280</v>
      </c>
      <c r="C59" s="49">
        <v>0.5</v>
      </c>
      <c r="D59" s="92" t="s">
        <v>281</v>
      </c>
      <c r="E59" s="1"/>
      <c r="F59" s="1"/>
      <c r="G59" s="1"/>
      <c r="H59" s="1"/>
      <c r="I59" s="1"/>
      <c r="J59" s="1"/>
      <c r="K59" s="1"/>
      <c r="L59" s="1"/>
      <c r="M59" s="1"/>
      <c r="N59" s="1"/>
      <c r="O59" s="1"/>
      <c r="P59" s="1"/>
      <c r="Q59" s="1"/>
      <c r="R59" s="1"/>
      <c r="S59" s="1"/>
      <c r="T59" s="1"/>
      <c r="U59" s="1"/>
      <c r="V59" s="1"/>
      <c r="W59" s="1"/>
      <c r="X59" s="1"/>
      <c r="Y59" s="1"/>
      <c r="Z59" s="1"/>
      <c r="AA59" s="1"/>
      <c r="AB59" s="1"/>
      <c r="AC59" s="1"/>
      <c r="AD59" s="2"/>
      <c r="AE59" s="2"/>
      <c r="AF59" s="2"/>
      <c r="AG59" s="2"/>
      <c r="AH59" s="2"/>
      <c r="AI59" s="2"/>
      <c r="AJ59" s="2"/>
      <c r="AK59" s="2"/>
      <c r="AL59" s="2"/>
      <c r="AM59" s="2"/>
      <c r="AN59" s="2"/>
      <c r="AO59" s="2"/>
      <c r="AP59" s="2"/>
      <c r="AQ59" s="2"/>
    </row>
    <row r="60" spans="1:43" ht="20" customHeight="1" x14ac:dyDescent="0.2">
      <c r="A60" s="1"/>
      <c r="B60" s="96" t="s">
        <v>282</v>
      </c>
      <c r="C60" s="1"/>
      <c r="D60" s="1"/>
      <c r="E60" s="47">
        <v>45000</v>
      </c>
      <c r="F60" s="47">
        <v>45000</v>
      </c>
      <c r="G60" s="47">
        <v>45000</v>
      </c>
      <c r="H60" s="47">
        <v>45000</v>
      </c>
      <c r="I60" s="47">
        <v>45000</v>
      </c>
      <c r="J60" s="47">
        <v>45000</v>
      </c>
      <c r="K60" s="47">
        <v>45000</v>
      </c>
      <c r="L60" s="47">
        <v>45000</v>
      </c>
      <c r="M60" s="47">
        <v>45000</v>
      </c>
      <c r="N60" s="47">
        <v>45000</v>
      </c>
      <c r="O60" s="47">
        <v>45000</v>
      </c>
      <c r="P60" s="47">
        <v>45000</v>
      </c>
      <c r="Q60" s="47">
        <v>48000</v>
      </c>
      <c r="R60" s="47">
        <v>48000</v>
      </c>
      <c r="S60" s="47">
        <v>48000</v>
      </c>
      <c r="T60" s="47">
        <v>48000</v>
      </c>
      <c r="U60" s="47">
        <v>48000</v>
      </c>
      <c r="V60" s="47">
        <v>48000</v>
      </c>
      <c r="W60" s="47">
        <v>48000</v>
      </c>
      <c r="X60" s="47">
        <v>48000</v>
      </c>
      <c r="Y60" s="47">
        <v>48000</v>
      </c>
      <c r="Z60" s="47">
        <v>48000</v>
      </c>
      <c r="AA60" s="47">
        <v>48000</v>
      </c>
      <c r="AB60" s="47">
        <v>48000</v>
      </c>
      <c r="AC60" s="29">
        <f>SUM(E60:P60)</f>
        <v>540000</v>
      </c>
      <c r="AD60" s="2"/>
      <c r="AE60" s="2"/>
      <c r="AF60" s="2"/>
      <c r="AG60" s="2"/>
      <c r="AH60" s="2"/>
      <c r="AI60" s="2"/>
      <c r="AJ60" s="2"/>
      <c r="AK60" s="2"/>
      <c r="AL60" s="2"/>
      <c r="AM60" s="2"/>
      <c r="AN60" s="2"/>
      <c r="AO60" s="2"/>
      <c r="AP60" s="2"/>
      <c r="AQ60" s="2"/>
    </row>
    <row r="61" spans="1:43" x14ac:dyDescent="0.2">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2"/>
      <c r="AE61" s="2"/>
      <c r="AF61" s="2"/>
      <c r="AG61" s="2"/>
      <c r="AH61" s="2"/>
      <c r="AI61" s="2"/>
      <c r="AJ61" s="2"/>
      <c r="AK61" s="2"/>
      <c r="AL61" s="2"/>
      <c r="AM61" s="2"/>
      <c r="AN61" s="2"/>
      <c r="AO61" s="2"/>
      <c r="AP61" s="2"/>
      <c r="AQ61" s="2"/>
    </row>
    <row r="62" spans="1:43" ht="20" customHeight="1" x14ac:dyDescent="0.2">
      <c r="A62" s="1"/>
      <c r="B62" s="96" t="s">
        <v>289</v>
      </c>
      <c r="C62" s="46" t="s">
        <v>399</v>
      </c>
      <c r="D62" s="92" t="s">
        <v>279</v>
      </c>
      <c r="E62" s="1"/>
      <c r="F62" s="1"/>
      <c r="G62" s="1"/>
      <c r="H62" s="1"/>
      <c r="I62" s="1"/>
      <c r="J62" s="1"/>
      <c r="K62" s="1"/>
      <c r="L62" s="1"/>
      <c r="M62" s="1"/>
      <c r="N62" s="1"/>
      <c r="O62" s="1"/>
      <c r="P62" s="1"/>
      <c r="Q62" s="1"/>
      <c r="R62" s="1"/>
      <c r="S62" s="1"/>
      <c r="T62" s="1"/>
      <c r="U62" s="1"/>
      <c r="V62" s="1"/>
      <c r="W62" s="1"/>
      <c r="X62" s="1"/>
      <c r="Y62" s="1"/>
      <c r="Z62" s="1"/>
      <c r="AA62" s="1"/>
      <c r="AB62" s="1"/>
      <c r="AC62" s="1"/>
      <c r="AD62" s="2"/>
      <c r="AE62" s="2"/>
      <c r="AF62" s="2"/>
      <c r="AG62" s="2"/>
      <c r="AH62" s="2"/>
      <c r="AI62" s="2"/>
      <c r="AJ62" s="2"/>
      <c r="AK62" s="2"/>
      <c r="AL62" s="2"/>
      <c r="AM62" s="2"/>
      <c r="AN62" s="2"/>
      <c r="AO62" s="2"/>
      <c r="AP62" s="2"/>
      <c r="AQ62" s="2"/>
    </row>
    <row r="63" spans="1:43" x14ac:dyDescent="0.2">
      <c r="A63" s="1"/>
      <c r="B63" s="97" t="s">
        <v>280</v>
      </c>
      <c r="C63" s="49">
        <v>0.85</v>
      </c>
      <c r="D63" s="92" t="s">
        <v>281</v>
      </c>
      <c r="E63" s="1"/>
      <c r="F63" s="1"/>
      <c r="G63" s="1"/>
      <c r="H63" s="1"/>
      <c r="I63" s="1"/>
      <c r="J63" s="1"/>
      <c r="K63" s="1"/>
      <c r="L63" s="1"/>
      <c r="M63" s="1"/>
      <c r="N63" s="1"/>
      <c r="O63" s="1"/>
      <c r="P63" s="1"/>
      <c r="Q63" s="1"/>
      <c r="R63" s="1"/>
      <c r="S63" s="1"/>
      <c r="T63" s="1"/>
      <c r="U63" s="1"/>
      <c r="V63" s="1"/>
      <c r="W63" s="1"/>
      <c r="X63" s="1"/>
      <c r="Y63" s="1"/>
      <c r="Z63" s="1"/>
      <c r="AA63" s="1"/>
      <c r="AB63" s="1"/>
      <c r="AC63" s="1"/>
      <c r="AD63" s="2"/>
      <c r="AE63" s="2"/>
      <c r="AF63" s="2"/>
      <c r="AG63" s="2"/>
      <c r="AH63" s="2"/>
      <c r="AI63" s="2"/>
      <c r="AJ63" s="2"/>
      <c r="AK63" s="2"/>
      <c r="AL63" s="2"/>
      <c r="AM63" s="2"/>
      <c r="AN63" s="2"/>
      <c r="AO63" s="2"/>
      <c r="AP63" s="2"/>
      <c r="AQ63" s="2"/>
    </row>
    <row r="64" spans="1:43" ht="20" customHeight="1" x14ac:dyDescent="0.2">
      <c r="A64" s="1"/>
      <c r="B64" s="96" t="s">
        <v>282</v>
      </c>
      <c r="C64" s="1"/>
      <c r="D64" s="1"/>
      <c r="E64" s="47">
        <v>25000</v>
      </c>
      <c r="F64" s="47">
        <v>25000</v>
      </c>
      <c r="G64" s="47">
        <v>25000</v>
      </c>
      <c r="H64" s="47">
        <v>25000</v>
      </c>
      <c r="I64" s="47">
        <v>25000</v>
      </c>
      <c r="J64" s="47">
        <v>25000</v>
      </c>
      <c r="K64" s="47">
        <v>25000</v>
      </c>
      <c r="L64" s="47">
        <v>25000</v>
      </c>
      <c r="M64" s="47">
        <v>25000</v>
      </c>
      <c r="N64" s="47">
        <v>25000</v>
      </c>
      <c r="O64" s="47">
        <v>25000</v>
      </c>
      <c r="P64" s="47">
        <v>25000</v>
      </c>
      <c r="Q64" s="47">
        <v>27000</v>
      </c>
      <c r="R64" s="47">
        <v>27000</v>
      </c>
      <c r="S64" s="47">
        <v>27000</v>
      </c>
      <c r="T64" s="47">
        <v>27000</v>
      </c>
      <c r="U64" s="47">
        <v>27000</v>
      </c>
      <c r="V64" s="47">
        <v>27000</v>
      </c>
      <c r="W64" s="47">
        <v>27000</v>
      </c>
      <c r="X64" s="47">
        <v>27000</v>
      </c>
      <c r="Y64" s="47">
        <v>27000</v>
      </c>
      <c r="Z64" s="47">
        <v>27000</v>
      </c>
      <c r="AA64" s="47">
        <v>27000</v>
      </c>
      <c r="AB64" s="47">
        <v>27000</v>
      </c>
      <c r="AC64" s="29">
        <f>SUM(E64:P64)</f>
        <v>300000</v>
      </c>
      <c r="AD64" s="2"/>
      <c r="AE64" s="2"/>
      <c r="AF64" s="2"/>
      <c r="AG64" s="2"/>
      <c r="AH64" s="2"/>
      <c r="AI64" s="2"/>
      <c r="AJ64" s="2"/>
      <c r="AK64" s="2"/>
      <c r="AL64" s="2"/>
      <c r="AM64" s="2"/>
      <c r="AN64" s="2"/>
      <c r="AO64" s="2"/>
      <c r="AP64" s="2"/>
      <c r="AQ64" s="2"/>
    </row>
    <row r="65" spans="1:43" x14ac:dyDescent="0.2">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2"/>
      <c r="AE65" s="2"/>
      <c r="AF65" s="2"/>
      <c r="AG65" s="2"/>
      <c r="AH65" s="2"/>
      <c r="AI65" s="2"/>
      <c r="AJ65" s="2"/>
      <c r="AK65" s="2"/>
      <c r="AL65" s="2"/>
      <c r="AM65" s="2"/>
      <c r="AN65" s="2"/>
      <c r="AO65" s="2"/>
      <c r="AP65" s="2"/>
      <c r="AQ65" s="2"/>
    </row>
    <row r="66" spans="1:43" ht="22" customHeight="1" x14ac:dyDescent="0.2">
      <c r="A66" s="1"/>
      <c r="B66" s="19" t="s">
        <v>291</v>
      </c>
      <c r="C66" s="15" t="s">
        <v>292</v>
      </c>
      <c r="D66" s="6"/>
      <c r="E66" s="6"/>
      <c r="F66" s="6"/>
      <c r="G66" s="6"/>
      <c r="H66" s="94"/>
      <c r="I66" s="94"/>
      <c r="J66" s="94"/>
      <c r="K66" s="94"/>
      <c r="L66" s="94"/>
      <c r="M66" s="94"/>
      <c r="N66" s="94"/>
      <c r="O66" s="94"/>
      <c r="P66" s="94"/>
      <c r="Q66" s="94"/>
      <c r="R66" s="94"/>
      <c r="S66" s="94"/>
      <c r="T66" s="94"/>
      <c r="U66" s="94"/>
      <c r="V66" s="94"/>
      <c r="W66" s="94"/>
      <c r="X66" s="94"/>
      <c r="Y66" s="94"/>
      <c r="Z66" s="94"/>
      <c r="AA66" s="94"/>
      <c r="AB66" s="94"/>
      <c r="AC66" s="95"/>
      <c r="AD66" s="2"/>
      <c r="AE66" s="2"/>
      <c r="AF66" s="2"/>
      <c r="AG66" s="2"/>
      <c r="AH66" s="2"/>
      <c r="AI66" s="2"/>
      <c r="AJ66" s="2"/>
      <c r="AK66" s="2"/>
      <c r="AL66" s="2"/>
      <c r="AM66" s="2"/>
      <c r="AN66" s="2"/>
      <c r="AO66" s="2"/>
      <c r="AP66" s="2"/>
      <c r="AQ66" s="2"/>
    </row>
    <row r="67" spans="1:43" ht="22" customHeight="1" x14ac:dyDescent="0.2">
      <c r="A67" s="1"/>
      <c r="B67" s="27"/>
      <c r="C67" s="1"/>
      <c r="D67" s="27" t="s">
        <v>276</v>
      </c>
      <c r="E67" s="28" t="s">
        <v>44</v>
      </c>
      <c r="F67" s="28" t="s">
        <v>45</v>
      </c>
      <c r="G67" s="28" t="s">
        <v>46</v>
      </c>
      <c r="H67" s="28" t="s">
        <v>47</v>
      </c>
      <c r="I67" s="28" t="s">
        <v>48</v>
      </c>
      <c r="J67" s="28" t="s">
        <v>49</v>
      </c>
      <c r="K67" s="28" t="s">
        <v>50</v>
      </c>
      <c r="L67" s="28" t="s">
        <v>51</v>
      </c>
      <c r="M67" s="28" t="s">
        <v>52</v>
      </c>
      <c r="N67" s="28" t="s">
        <v>53</v>
      </c>
      <c r="O67" s="28" t="s">
        <v>54</v>
      </c>
      <c r="P67" s="28" t="s">
        <v>55</v>
      </c>
      <c r="Q67" s="28" t="s">
        <v>56</v>
      </c>
      <c r="R67" s="28" t="s">
        <v>57</v>
      </c>
      <c r="S67" s="28" t="s">
        <v>58</v>
      </c>
      <c r="T67" s="28" t="s">
        <v>59</v>
      </c>
      <c r="U67" s="28" t="s">
        <v>60</v>
      </c>
      <c r="V67" s="28" t="s">
        <v>61</v>
      </c>
      <c r="W67" s="28" t="s">
        <v>62</v>
      </c>
      <c r="X67" s="28" t="s">
        <v>63</v>
      </c>
      <c r="Y67" s="28" t="s">
        <v>64</v>
      </c>
      <c r="Z67" s="28" t="s">
        <v>65</v>
      </c>
      <c r="AA67" s="28" t="s">
        <v>66</v>
      </c>
      <c r="AB67" s="28" t="s">
        <v>67</v>
      </c>
      <c r="AC67" s="28" t="s">
        <v>41</v>
      </c>
      <c r="AD67" s="2"/>
      <c r="AE67" s="2"/>
      <c r="AF67" s="2"/>
      <c r="AG67" s="2"/>
      <c r="AH67" s="2"/>
      <c r="AI67" s="2"/>
      <c r="AJ67" s="2"/>
      <c r="AK67" s="2"/>
      <c r="AL67" s="2"/>
      <c r="AM67" s="2"/>
      <c r="AN67" s="2"/>
      <c r="AO67" s="2"/>
      <c r="AP67" s="2"/>
      <c r="AQ67" s="2"/>
    </row>
    <row r="68" spans="1:43" ht="20" customHeight="1" x14ac:dyDescent="0.2">
      <c r="A68" s="1"/>
      <c r="B68" s="96" t="s">
        <v>293</v>
      </c>
      <c r="C68" s="1"/>
      <c r="D68" s="92" t="s">
        <v>294</v>
      </c>
      <c r="E68" s="47">
        <v>15000</v>
      </c>
      <c r="F68" s="47">
        <v>15000</v>
      </c>
      <c r="G68" s="47">
        <v>15000</v>
      </c>
      <c r="H68" s="47">
        <v>15000</v>
      </c>
      <c r="I68" s="47">
        <v>15000</v>
      </c>
      <c r="J68" s="47">
        <v>15000</v>
      </c>
      <c r="K68" s="47">
        <v>15000</v>
      </c>
      <c r="L68" s="47">
        <v>15000</v>
      </c>
      <c r="M68" s="47">
        <v>15000</v>
      </c>
      <c r="N68" s="47">
        <v>15000</v>
      </c>
      <c r="O68" s="47">
        <v>15000</v>
      </c>
      <c r="P68" s="47">
        <v>15000</v>
      </c>
      <c r="Q68" s="47">
        <v>15000</v>
      </c>
      <c r="R68" s="47">
        <v>15000</v>
      </c>
      <c r="S68" s="47">
        <v>15000</v>
      </c>
      <c r="T68" s="47">
        <v>15000</v>
      </c>
      <c r="U68" s="47">
        <v>15000</v>
      </c>
      <c r="V68" s="47">
        <v>15000</v>
      </c>
      <c r="W68" s="47">
        <v>15000</v>
      </c>
      <c r="X68" s="47">
        <v>15000</v>
      </c>
      <c r="Y68" s="47">
        <v>15000</v>
      </c>
      <c r="Z68" s="47">
        <v>15000</v>
      </c>
      <c r="AA68" s="47">
        <v>15000</v>
      </c>
      <c r="AB68" s="47">
        <v>15000</v>
      </c>
      <c r="AC68" s="29">
        <f>SUM(E68:P68)</f>
        <v>180000</v>
      </c>
      <c r="AD68" s="2"/>
      <c r="AE68" s="2"/>
      <c r="AF68" s="2"/>
      <c r="AG68" s="2"/>
      <c r="AH68" s="2"/>
      <c r="AI68" s="2"/>
      <c r="AJ68" s="2"/>
      <c r="AK68" s="2"/>
      <c r="AL68" s="2"/>
      <c r="AM68" s="2"/>
      <c r="AN68" s="2"/>
      <c r="AO68" s="2"/>
      <c r="AP68" s="2"/>
      <c r="AQ68" s="2"/>
    </row>
    <row r="69" spans="1:43" ht="20" customHeight="1" x14ac:dyDescent="0.2">
      <c r="A69" s="1"/>
      <c r="B69" s="96" t="s">
        <v>295</v>
      </c>
      <c r="C69" s="1"/>
      <c r="D69" s="92" t="s">
        <v>296</v>
      </c>
      <c r="E69" s="47">
        <v>4000</v>
      </c>
      <c r="F69" s="47">
        <v>4000</v>
      </c>
      <c r="G69" s="47">
        <v>4000</v>
      </c>
      <c r="H69" s="47">
        <v>4000</v>
      </c>
      <c r="I69" s="47">
        <v>4000</v>
      </c>
      <c r="J69" s="47">
        <v>4000</v>
      </c>
      <c r="K69" s="47">
        <v>4000</v>
      </c>
      <c r="L69" s="47">
        <v>4000</v>
      </c>
      <c r="M69" s="47">
        <v>4000</v>
      </c>
      <c r="N69" s="47">
        <v>4000</v>
      </c>
      <c r="O69" s="47">
        <v>4000</v>
      </c>
      <c r="P69" s="47">
        <v>4000</v>
      </c>
      <c r="Q69" s="47">
        <v>4000</v>
      </c>
      <c r="R69" s="47">
        <v>4000</v>
      </c>
      <c r="S69" s="47">
        <v>4000</v>
      </c>
      <c r="T69" s="47">
        <v>4000</v>
      </c>
      <c r="U69" s="47">
        <v>4000</v>
      </c>
      <c r="V69" s="47">
        <v>4000</v>
      </c>
      <c r="W69" s="47">
        <v>4000</v>
      </c>
      <c r="X69" s="47">
        <v>4000</v>
      </c>
      <c r="Y69" s="47">
        <v>4000</v>
      </c>
      <c r="Z69" s="47">
        <v>4000</v>
      </c>
      <c r="AA69" s="47">
        <v>4000</v>
      </c>
      <c r="AB69" s="47">
        <v>4000</v>
      </c>
      <c r="AC69" s="29">
        <f>SUM(E69:P69)</f>
        <v>48000</v>
      </c>
      <c r="AD69" s="2"/>
      <c r="AE69" s="2"/>
      <c r="AF69" s="2"/>
      <c r="AG69" s="2"/>
      <c r="AH69" s="2"/>
      <c r="AI69" s="2"/>
      <c r="AJ69" s="2"/>
      <c r="AK69" s="2"/>
      <c r="AL69" s="2"/>
      <c r="AM69" s="2"/>
      <c r="AN69" s="2"/>
      <c r="AO69" s="2"/>
      <c r="AP69" s="2"/>
      <c r="AQ69" s="2"/>
    </row>
    <row r="70" spans="1:43" ht="20" customHeight="1" x14ac:dyDescent="0.2">
      <c r="A70" s="1"/>
      <c r="B70" s="96" t="s">
        <v>297</v>
      </c>
      <c r="C70" s="1"/>
      <c r="D70" s="92" t="s">
        <v>298</v>
      </c>
      <c r="E70" s="47">
        <v>12000</v>
      </c>
      <c r="F70" s="47">
        <v>12000</v>
      </c>
      <c r="G70" s="47">
        <v>12000</v>
      </c>
      <c r="H70" s="47">
        <v>12000</v>
      </c>
      <c r="I70" s="47">
        <v>12000</v>
      </c>
      <c r="J70" s="47">
        <v>12000</v>
      </c>
      <c r="K70" s="47">
        <v>12000</v>
      </c>
      <c r="L70" s="47">
        <v>12000</v>
      </c>
      <c r="M70" s="47">
        <v>12000</v>
      </c>
      <c r="N70" s="47">
        <v>12000</v>
      </c>
      <c r="O70" s="47">
        <v>12000</v>
      </c>
      <c r="P70" s="47">
        <v>12000</v>
      </c>
      <c r="Q70" s="47">
        <v>12000</v>
      </c>
      <c r="R70" s="47">
        <v>12000</v>
      </c>
      <c r="S70" s="47">
        <v>12000</v>
      </c>
      <c r="T70" s="47">
        <v>12000</v>
      </c>
      <c r="U70" s="47">
        <v>12000</v>
      </c>
      <c r="V70" s="47">
        <v>12000</v>
      </c>
      <c r="W70" s="47">
        <v>12000</v>
      </c>
      <c r="X70" s="47">
        <v>12000</v>
      </c>
      <c r="Y70" s="47">
        <v>12000</v>
      </c>
      <c r="Z70" s="47">
        <v>12000</v>
      </c>
      <c r="AA70" s="47">
        <v>12000</v>
      </c>
      <c r="AB70" s="47">
        <v>12000</v>
      </c>
      <c r="AC70" s="29">
        <f>SUM(E70:P70)</f>
        <v>144000</v>
      </c>
      <c r="AD70" s="2"/>
      <c r="AE70" s="2"/>
      <c r="AF70" s="2"/>
      <c r="AG70" s="2"/>
      <c r="AH70" s="2"/>
      <c r="AI70" s="2"/>
      <c r="AJ70" s="2"/>
      <c r="AK70" s="2"/>
      <c r="AL70" s="2"/>
      <c r="AM70" s="2"/>
      <c r="AN70" s="2"/>
      <c r="AO70" s="2"/>
      <c r="AP70" s="2"/>
      <c r="AQ70" s="2"/>
    </row>
    <row r="71" spans="1:43" ht="20" customHeight="1" x14ac:dyDescent="0.2">
      <c r="A71" s="1"/>
      <c r="B71" s="96" t="s">
        <v>299</v>
      </c>
      <c r="C71" s="1"/>
      <c r="D71" s="92" t="s">
        <v>300</v>
      </c>
      <c r="E71" s="47">
        <v>2500</v>
      </c>
      <c r="F71" s="47">
        <v>2500</v>
      </c>
      <c r="G71" s="47">
        <v>2500</v>
      </c>
      <c r="H71" s="47">
        <v>2500</v>
      </c>
      <c r="I71" s="47">
        <v>2500</v>
      </c>
      <c r="J71" s="47">
        <v>2500</v>
      </c>
      <c r="K71" s="47">
        <v>2500</v>
      </c>
      <c r="L71" s="47">
        <v>2500</v>
      </c>
      <c r="M71" s="47">
        <v>2500</v>
      </c>
      <c r="N71" s="47">
        <v>2500</v>
      </c>
      <c r="O71" s="47">
        <v>2500</v>
      </c>
      <c r="P71" s="47">
        <v>2500</v>
      </c>
      <c r="Q71" s="47">
        <v>2500</v>
      </c>
      <c r="R71" s="47">
        <v>2500</v>
      </c>
      <c r="S71" s="47">
        <v>2500</v>
      </c>
      <c r="T71" s="47">
        <v>2500</v>
      </c>
      <c r="U71" s="47">
        <v>2500</v>
      </c>
      <c r="V71" s="47">
        <v>2500</v>
      </c>
      <c r="W71" s="47">
        <v>2500</v>
      </c>
      <c r="X71" s="47">
        <v>2500</v>
      </c>
      <c r="Y71" s="47">
        <v>2500</v>
      </c>
      <c r="Z71" s="47">
        <v>2500</v>
      </c>
      <c r="AA71" s="47">
        <v>2500</v>
      </c>
      <c r="AB71" s="47">
        <v>2500</v>
      </c>
      <c r="AC71" s="29">
        <f>SUM(E71:P71)</f>
        <v>30000</v>
      </c>
      <c r="AD71" s="2"/>
      <c r="AE71" s="2"/>
      <c r="AF71" s="2"/>
      <c r="AG71" s="2"/>
      <c r="AH71" s="2"/>
      <c r="AI71" s="2"/>
      <c r="AJ71" s="2"/>
      <c r="AK71" s="2"/>
      <c r="AL71" s="2"/>
      <c r="AM71" s="2"/>
      <c r="AN71" s="2"/>
      <c r="AO71" s="2"/>
      <c r="AP71" s="2"/>
      <c r="AQ71" s="2"/>
    </row>
    <row r="72" spans="1:43" x14ac:dyDescent="0.2">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2"/>
      <c r="AE72" s="2"/>
      <c r="AF72" s="2"/>
      <c r="AG72" s="2"/>
      <c r="AH72" s="2"/>
      <c r="AI72" s="2"/>
      <c r="AJ72" s="2"/>
      <c r="AK72" s="2"/>
      <c r="AL72" s="2"/>
      <c r="AM72" s="2"/>
      <c r="AN72" s="2"/>
      <c r="AO72" s="2"/>
      <c r="AP72" s="2"/>
      <c r="AQ72" s="2"/>
    </row>
    <row r="73" spans="1:43" ht="22" customHeight="1" x14ac:dyDescent="0.2">
      <c r="A73" s="1"/>
      <c r="B73" s="19" t="s">
        <v>301</v>
      </c>
      <c r="C73" s="15" t="s">
        <v>302</v>
      </c>
      <c r="D73" s="6"/>
      <c r="E73" s="6"/>
      <c r="F73" s="6"/>
      <c r="G73" s="6"/>
      <c r="H73" s="94"/>
      <c r="I73" s="94"/>
      <c r="J73" s="94"/>
      <c r="K73" s="94"/>
      <c r="L73" s="94"/>
      <c r="M73" s="94"/>
      <c r="N73" s="94"/>
      <c r="O73" s="94"/>
      <c r="P73" s="94"/>
      <c r="Q73" s="94"/>
      <c r="R73" s="94"/>
      <c r="S73" s="94"/>
      <c r="T73" s="94"/>
      <c r="U73" s="94"/>
      <c r="V73" s="94"/>
      <c r="W73" s="94"/>
      <c r="X73" s="94"/>
      <c r="Y73" s="94"/>
      <c r="Z73" s="94"/>
      <c r="AA73" s="94"/>
      <c r="AB73" s="94"/>
      <c r="AC73" s="95"/>
      <c r="AD73" s="2"/>
      <c r="AE73" s="2"/>
      <c r="AF73" s="2"/>
      <c r="AG73" s="2"/>
      <c r="AH73" s="2"/>
      <c r="AI73" s="2"/>
      <c r="AJ73" s="2"/>
      <c r="AK73" s="2"/>
      <c r="AL73" s="2"/>
      <c r="AM73" s="2"/>
      <c r="AN73" s="2"/>
      <c r="AO73" s="2"/>
      <c r="AP73" s="2"/>
      <c r="AQ73" s="2"/>
    </row>
    <row r="74" spans="1:43" ht="22" customHeight="1" x14ac:dyDescent="0.2">
      <c r="A74" s="1"/>
      <c r="B74" s="27"/>
      <c r="C74" s="1"/>
      <c r="D74" s="27" t="s">
        <v>276</v>
      </c>
      <c r="E74" s="28" t="s">
        <v>44</v>
      </c>
      <c r="F74" s="28" t="s">
        <v>45</v>
      </c>
      <c r="G74" s="28" t="s">
        <v>46</v>
      </c>
      <c r="H74" s="28" t="s">
        <v>47</v>
      </c>
      <c r="I74" s="28" t="s">
        <v>48</v>
      </c>
      <c r="J74" s="28" t="s">
        <v>49</v>
      </c>
      <c r="K74" s="28" t="s">
        <v>50</v>
      </c>
      <c r="L74" s="28" t="s">
        <v>51</v>
      </c>
      <c r="M74" s="28" t="s">
        <v>52</v>
      </c>
      <c r="N74" s="28" t="s">
        <v>53</v>
      </c>
      <c r="O74" s="28" t="s">
        <v>54</v>
      </c>
      <c r="P74" s="28" t="s">
        <v>55</v>
      </c>
      <c r="Q74" s="28" t="s">
        <v>56</v>
      </c>
      <c r="R74" s="28" t="s">
        <v>57</v>
      </c>
      <c r="S74" s="28" t="s">
        <v>58</v>
      </c>
      <c r="T74" s="28" t="s">
        <v>59</v>
      </c>
      <c r="U74" s="28" t="s">
        <v>60</v>
      </c>
      <c r="V74" s="28" t="s">
        <v>61</v>
      </c>
      <c r="W74" s="28" t="s">
        <v>62</v>
      </c>
      <c r="X74" s="28" t="s">
        <v>63</v>
      </c>
      <c r="Y74" s="28" t="s">
        <v>64</v>
      </c>
      <c r="Z74" s="28" t="s">
        <v>65</v>
      </c>
      <c r="AA74" s="28" t="s">
        <v>66</v>
      </c>
      <c r="AB74" s="28" t="s">
        <v>67</v>
      </c>
      <c r="AC74" s="28" t="s">
        <v>41</v>
      </c>
      <c r="AD74" s="2"/>
      <c r="AE74" s="2"/>
      <c r="AF74" s="2"/>
      <c r="AG74" s="2"/>
      <c r="AH74" s="2"/>
      <c r="AI74" s="2"/>
      <c r="AJ74" s="2"/>
      <c r="AK74" s="2"/>
      <c r="AL74" s="2"/>
      <c r="AM74" s="2"/>
      <c r="AN74" s="2"/>
      <c r="AO74" s="2"/>
      <c r="AP74" s="2"/>
      <c r="AQ74" s="2"/>
    </row>
    <row r="75" spans="1:43" ht="20" customHeight="1" x14ac:dyDescent="0.2">
      <c r="A75" s="1"/>
      <c r="B75" s="98" t="s">
        <v>303</v>
      </c>
      <c r="C75" s="1"/>
      <c r="D75" s="92" t="s">
        <v>304</v>
      </c>
      <c r="E75" s="52">
        <f t="shared" ref="E75:AB75" si="0">smp_headcount*smp_flc_per_fte/12</f>
        <v>84583.333333333328</v>
      </c>
      <c r="F75" s="52">
        <f t="shared" si="0"/>
        <v>84583.333333333328</v>
      </c>
      <c r="G75" s="52">
        <f t="shared" si="0"/>
        <v>84583.333333333328</v>
      </c>
      <c r="H75" s="52">
        <f t="shared" si="0"/>
        <v>84583.333333333328</v>
      </c>
      <c r="I75" s="52">
        <f t="shared" si="0"/>
        <v>84583.333333333328</v>
      </c>
      <c r="J75" s="52">
        <f t="shared" si="0"/>
        <v>84583.333333333328</v>
      </c>
      <c r="K75" s="52">
        <f t="shared" si="0"/>
        <v>84583.333333333328</v>
      </c>
      <c r="L75" s="52">
        <f t="shared" si="0"/>
        <v>84583.333333333328</v>
      </c>
      <c r="M75" s="52">
        <f t="shared" si="0"/>
        <v>84583.333333333328</v>
      </c>
      <c r="N75" s="52">
        <f t="shared" si="0"/>
        <v>84583.333333333328</v>
      </c>
      <c r="O75" s="52">
        <f t="shared" si="0"/>
        <v>84583.333333333328</v>
      </c>
      <c r="P75" s="52">
        <f t="shared" si="0"/>
        <v>84583.333333333328</v>
      </c>
      <c r="Q75" s="52">
        <f t="shared" si="0"/>
        <v>84583.333333333328</v>
      </c>
      <c r="R75" s="52">
        <f t="shared" si="0"/>
        <v>84583.333333333328</v>
      </c>
      <c r="S75" s="52">
        <f t="shared" si="0"/>
        <v>84583.333333333328</v>
      </c>
      <c r="T75" s="52">
        <f t="shared" si="0"/>
        <v>84583.333333333328</v>
      </c>
      <c r="U75" s="52">
        <f t="shared" si="0"/>
        <v>84583.333333333328</v>
      </c>
      <c r="V75" s="52">
        <f t="shared" si="0"/>
        <v>84583.333333333328</v>
      </c>
      <c r="W75" s="52">
        <f t="shared" si="0"/>
        <v>84583.333333333328</v>
      </c>
      <c r="X75" s="52">
        <f t="shared" si="0"/>
        <v>84583.333333333328</v>
      </c>
      <c r="Y75" s="52">
        <f t="shared" si="0"/>
        <v>84583.333333333328</v>
      </c>
      <c r="Z75" s="52">
        <f t="shared" si="0"/>
        <v>84583.333333333328</v>
      </c>
      <c r="AA75" s="52">
        <f t="shared" si="0"/>
        <v>84583.333333333328</v>
      </c>
      <c r="AB75" s="52">
        <f t="shared" si="0"/>
        <v>84583.333333333328</v>
      </c>
      <c r="AC75" s="29">
        <f t="shared" ref="AC75:AC81" si="1">SUM(E75:P75)</f>
        <v>1015000.0000000001</v>
      </c>
      <c r="AD75" s="2"/>
      <c r="AE75" s="2"/>
      <c r="AF75" s="2"/>
      <c r="AG75" s="2"/>
      <c r="AH75" s="2"/>
      <c r="AI75" s="2"/>
      <c r="AJ75" s="2"/>
      <c r="AK75" s="2"/>
      <c r="AL75" s="2"/>
      <c r="AM75" s="2"/>
      <c r="AN75" s="2"/>
      <c r="AO75" s="2"/>
      <c r="AP75" s="2"/>
      <c r="AQ75" s="2"/>
    </row>
    <row r="76" spans="1:43" ht="20" customHeight="1" x14ac:dyDescent="0.2">
      <c r="A76" s="1"/>
      <c r="B76" s="96" t="s">
        <v>305</v>
      </c>
      <c r="C76" s="1"/>
      <c r="D76" s="92" t="s">
        <v>306</v>
      </c>
      <c r="E76" s="47">
        <v>18000</v>
      </c>
      <c r="F76" s="47">
        <v>18000</v>
      </c>
      <c r="G76" s="47">
        <v>18000</v>
      </c>
      <c r="H76" s="47">
        <v>18000</v>
      </c>
      <c r="I76" s="47">
        <v>18000</v>
      </c>
      <c r="J76" s="47">
        <v>18000</v>
      </c>
      <c r="K76" s="47">
        <v>18000</v>
      </c>
      <c r="L76" s="47">
        <v>18000</v>
      </c>
      <c r="M76" s="47">
        <v>18000</v>
      </c>
      <c r="N76" s="47">
        <v>18000</v>
      </c>
      <c r="O76" s="47">
        <v>18000</v>
      </c>
      <c r="P76" s="47">
        <v>18000</v>
      </c>
      <c r="Q76" s="47">
        <v>18000</v>
      </c>
      <c r="R76" s="47">
        <v>18000</v>
      </c>
      <c r="S76" s="47">
        <v>18000</v>
      </c>
      <c r="T76" s="47">
        <v>18000</v>
      </c>
      <c r="U76" s="47">
        <v>18000</v>
      </c>
      <c r="V76" s="47">
        <v>18000</v>
      </c>
      <c r="W76" s="47">
        <v>18000</v>
      </c>
      <c r="X76" s="47">
        <v>18000</v>
      </c>
      <c r="Y76" s="47">
        <v>18000</v>
      </c>
      <c r="Z76" s="47">
        <v>18000</v>
      </c>
      <c r="AA76" s="47">
        <v>18000</v>
      </c>
      <c r="AB76" s="47">
        <v>18000</v>
      </c>
      <c r="AC76" s="29">
        <f t="shared" si="1"/>
        <v>216000</v>
      </c>
      <c r="AD76" s="2"/>
      <c r="AE76" s="2"/>
      <c r="AF76" s="2"/>
      <c r="AG76" s="2"/>
      <c r="AH76" s="2"/>
      <c r="AI76" s="2"/>
      <c r="AJ76" s="2"/>
      <c r="AK76" s="2"/>
      <c r="AL76" s="2"/>
      <c r="AM76" s="2"/>
      <c r="AN76" s="2"/>
      <c r="AO76" s="2"/>
      <c r="AP76" s="2"/>
      <c r="AQ76" s="2"/>
    </row>
    <row r="77" spans="1:43" ht="20" customHeight="1" x14ac:dyDescent="0.2">
      <c r="A77" s="1"/>
      <c r="B77" s="96" t="s">
        <v>307</v>
      </c>
      <c r="C77" s="1"/>
      <c r="D77" s="92" t="s">
        <v>308</v>
      </c>
      <c r="E77" s="47">
        <v>7500</v>
      </c>
      <c r="F77" s="47">
        <v>7500</v>
      </c>
      <c r="G77" s="47">
        <v>7500</v>
      </c>
      <c r="H77" s="47">
        <v>7500</v>
      </c>
      <c r="I77" s="47">
        <v>7500</v>
      </c>
      <c r="J77" s="47">
        <v>7500</v>
      </c>
      <c r="K77" s="47">
        <v>7500</v>
      </c>
      <c r="L77" s="47">
        <v>7500</v>
      </c>
      <c r="M77" s="47">
        <v>7500</v>
      </c>
      <c r="N77" s="47">
        <v>7500</v>
      </c>
      <c r="O77" s="47">
        <v>7500</v>
      </c>
      <c r="P77" s="47">
        <v>7500</v>
      </c>
      <c r="Q77" s="47">
        <v>7500</v>
      </c>
      <c r="R77" s="47">
        <v>7500</v>
      </c>
      <c r="S77" s="47">
        <v>7500</v>
      </c>
      <c r="T77" s="47">
        <v>7500</v>
      </c>
      <c r="U77" s="47">
        <v>7500</v>
      </c>
      <c r="V77" s="47">
        <v>7500</v>
      </c>
      <c r="W77" s="47">
        <v>7500</v>
      </c>
      <c r="X77" s="47">
        <v>7500</v>
      </c>
      <c r="Y77" s="47">
        <v>7500</v>
      </c>
      <c r="Z77" s="47">
        <v>7500</v>
      </c>
      <c r="AA77" s="47">
        <v>7500</v>
      </c>
      <c r="AB77" s="47">
        <v>7500</v>
      </c>
      <c r="AC77" s="29">
        <f t="shared" si="1"/>
        <v>90000</v>
      </c>
      <c r="AD77" s="2"/>
      <c r="AE77" s="2"/>
      <c r="AF77" s="2"/>
      <c r="AG77" s="2"/>
      <c r="AH77" s="2"/>
      <c r="AI77" s="2"/>
      <c r="AJ77" s="2"/>
      <c r="AK77" s="2"/>
      <c r="AL77" s="2"/>
      <c r="AM77" s="2"/>
      <c r="AN77" s="2"/>
      <c r="AO77" s="2"/>
      <c r="AP77" s="2"/>
      <c r="AQ77" s="2"/>
    </row>
    <row r="78" spans="1:43" ht="20" customHeight="1" x14ac:dyDescent="0.2">
      <c r="A78" s="1"/>
      <c r="B78" s="96" t="s">
        <v>309</v>
      </c>
      <c r="C78" s="1"/>
      <c r="D78" s="92" t="s">
        <v>310</v>
      </c>
      <c r="E78" s="47">
        <v>16000</v>
      </c>
      <c r="F78" s="47">
        <v>16000</v>
      </c>
      <c r="G78" s="47">
        <v>16000</v>
      </c>
      <c r="H78" s="47">
        <v>16000</v>
      </c>
      <c r="I78" s="47">
        <v>16000</v>
      </c>
      <c r="J78" s="47">
        <v>16000</v>
      </c>
      <c r="K78" s="47">
        <v>16000</v>
      </c>
      <c r="L78" s="47">
        <v>16000</v>
      </c>
      <c r="M78" s="47">
        <v>16000</v>
      </c>
      <c r="N78" s="47">
        <v>16000</v>
      </c>
      <c r="O78" s="47">
        <v>16000</v>
      </c>
      <c r="P78" s="47">
        <v>16000</v>
      </c>
      <c r="Q78" s="47">
        <v>16000</v>
      </c>
      <c r="R78" s="47">
        <v>16000</v>
      </c>
      <c r="S78" s="47">
        <v>16000</v>
      </c>
      <c r="T78" s="47">
        <v>16000</v>
      </c>
      <c r="U78" s="47">
        <v>16000</v>
      </c>
      <c r="V78" s="47">
        <v>16000</v>
      </c>
      <c r="W78" s="47">
        <v>16000</v>
      </c>
      <c r="X78" s="47">
        <v>16000</v>
      </c>
      <c r="Y78" s="47">
        <v>16000</v>
      </c>
      <c r="Z78" s="47">
        <v>16000</v>
      </c>
      <c r="AA78" s="47">
        <v>16000</v>
      </c>
      <c r="AB78" s="47">
        <v>16000</v>
      </c>
      <c r="AC78" s="29">
        <f t="shared" si="1"/>
        <v>192000</v>
      </c>
      <c r="AD78" s="2"/>
      <c r="AE78" s="2"/>
      <c r="AF78" s="2"/>
      <c r="AG78" s="2"/>
      <c r="AH78" s="2"/>
      <c r="AI78" s="2"/>
      <c r="AJ78" s="2"/>
      <c r="AK78" s="2"/>
      <c r="AL78" s="2"/>
      <c r="AM78" s="2"/>
      <c r="AN78" s="2"/>
      <c r="AO78" s="2"/>
      <c r="AP78" s="2"/>
      <c r="AQ78" s="2"/>
    </row>
    <row r="79" spans="1:43" ht="20" customHeight="1" x14ac:dyDescent="0.2">
      <c r="A79" s="1"/>
      <c r="B79" s="96" t="s">
        <v>311</v>
      </c>
      <c r="C79" s="1"/>
      <c r="D79" s="92" t="s">
        <v>312</v>
      </c>
      <c r="E79" s="47">
        <v>6000</v>
      </c>
      <c r="F79" s="47">
        <v>6000</v>
      </c>
      <c r="G79" s="47">
        <v>6000</v>
      </c>
      <c r="H79" s="47">
        <v>6000</v>
      </c>
      <c r="I79" s="47">
        <v>6000</v>
      </c>
      <c r="J79" s="47">
        <v>6000</v>
      </c>
      <c r="K79" s="47">
        <v>6000</v>
      </c>
      <c r="L79" s="47">
        <v>6000</v>
      </c>
      <c r="M79" s="47">
        <v>6000</v>
      </c>
      <c r="N79" s="47">
        <v>6000</v>
      </c>
      <c r="O79" s="47">
        <v>6000</v>
      </c>
      <c r="P79" s="47">
        <v>6000</v>
      </c>
      <c r="Q79" s="47">
        <v>6000</v>
      </c>
      <c r="R79" s="47">
        <v>6000</v>
      </c>
      <c r="S79" s="47">
        <v>6000</v>
      </c>
      <c r="T79" s="47">
        <v>6000</v>
      </c>
      <c r="U79" s="47">
        <v>6000</v>
      </c>
      <c r="V79" s="47">
        <v>6000</v>
      </c>
      <c r="W79" s="47">
        <v>6000</v>
      </c>
      <c r="X79" s="47">
        <v>6000</v>
      </c>
      <c r="Y79" s="47">
        <v>6000</v>
      </c>
      <c r="Z79" s="47">
        <v>6000</v>
      </c>
      <c r="AA79" s="47">
        <v>6000</v>
      </c>
      <c r="AB79" s="47">
        <v>6000</v>
      </c>
      <c r="AC79" s="29">
        <f t="shared" si="1"/>
        <v>72000</v>
      </c>
      <c r="AD79" s="2"/>
      <c r="AE79" s="2"/>
      <c r="AF79" s="2"/>
      <c r="AG79" s="2"/>
      <c r="AH79" s="2"/>
      <c r="AI79" s="2"/>
      <c r="AJ79" s="2"/>
      <c r="AK79" s="2"/>
      <c r="AL79" s="2"/>
      <c r="AM79" s="2"/>
      <c r="AN79" s="2"/>
      <c r="AO79" s="2"/>
      <c r="AP79" s="2"/>
      <c r="AQ79" s="2"/>
    </row>
    <row r="80" spans="1:43" ht="20" customHeight="1" x14ac:dyDescent="0.2">
      <c r="A80" s="1"/>
      <c r="B80" s="96" t="s">
        <v>313</v>
      </c>
      <c r="C80" s="1"/>
      <c r="D80" s="92" t="s">
        <v>314</v>
      </c>
      <c r="E80" s="47">
        <v>4000</v>
      </c>
      <c r="F80" s="47">
        <v>4000</v>
      </c>
      <c r="G80" s="47">
        <v>4000</v>
      </c>
      <c r="H80" s="47">
        <v>4000</v>
      </c>
      <c r="I80" s="47">
        <v>4000</v>
      </c>
      <c r="J80" s="47">
        <v>4000</v>
      </c>
      <c r="K80" s="47">
        <v>4000</v>
      </c>
      <c r="L80" s="47">
        <v>4000</v>
      </c>
      <c r="M80" s="47">
        <v>4000</v>
      </c>
      <c r="N80" s="47">
        <v>4000</v>
      </c>
      <c r="O80" s="47">
        <v>4000</v>
      </c>
      <c r="P80" s="47">
        <v>4000</v>
      </c>
      <c r="Q80" s="47">
        <v>4000</v>
      </c>
      <c r="R80" s="47">
        <v>4000</v>
      </c>
      <c r="S80" s="47">
        <v>4000</v>
      </c>
      <c r="T80" s="47">
        <v>4000</v>
      </c>
      <c r="U80" s="47">
        <v>4000</v>
      </c>
      <c r="V80" s="47">
        <v>4000</v>
      </c>
      <c r="W80" s="47">
        <v>4000</v>
      </c>
      <c r="X80" s="47">
        <v>4000</v>
      </c>
      <c r="Y80" s="47">
        <v>4000</v>
      </c>
      <c r="Z80" s="47">
        <v>4000</v>
      </c>
      <c r="AA80" s="47">
        <v>4000</v>
      </c>
      <c r="AB80" s="47">
        <v>4000</v>
      </c>
      <c r="AC80" s="29">
        <f t="shared" si="1"/>
        <v>48000</v>
      </c>
      <c r="AD80" s="2"/>
      <c r="AE80" s="2"/>
      <c r="AF80" s="2"/>
      <c r="AG80" s="2"/>
      <c r="AH80" s="2"/>
      <c r="AI80" s="2"/>
      <c r="AJ80" s="2"/>
      <c r="AK80" s="2"/>
      <c r="AL80" s="2"/>
      <c r="AM80" s="2"/>
      <c r="AN80" s="2"/>
      <c r="AO80" s="2"/>
      <c r="AP80" s="2"/>
      <c r="AQ80" s="2"/>
    </row>
    <row r="81" spans="1:43" ht="20" customHeight="1" x14ac:dyDescent="0.2">
      <c r="A81" s="1"/>
      <c r="B81" s="96" t="s">
        <v>315</v>
      </c>
      <c r="C81" s="1"/>
      <c r="D81" s="92" t="s">
        <v>316</v>
      </c>
      <c r="E81" s="47">
        <v>5000</v>
      </c>
      <c r="F81" s="47">
        <v>5000</v>
      </c>
      <c r="G81" s="47">
        <v>5000</v>
      </c>
      <c r="H81" s="47">
        <v>5000</v>
      </c>
      <c r="I81" s="47">
        <v>5000</v>
      </c>
      <c r="J81" s="47">
        <v>5000</v>
      </c>
      <c r="K81" s="47">
        <v>5000</v>
      </c>
      <c r="L81" s="47">
        <v>5000</v>
      </c>
      <c r="M81" s="47">
        <v>5000</v>
      </c>
      <c r="N81" s="47">
        <v>5000</v>
      </c>
      <c r="O81" s="47">
        <v>5000</v>
      </c>
      <c r="P81" s="47">
        <v>5000</v>
      </c>
      <c r="Q81" s="47">
        <v>5000</v>
      </c>
      <c r="R81" s="47">
        <v>5000</v>
      </c>
      <c r="S81" s="47">
        <v>5000</v>
      </c>
      <c r="T81" s="47">
        <v>5000</v>
      </c>
      <c r="U81" s="47">
        <v>5000</v>
      </c>
      <c r="V81" s="47">
        <v>5000</v>
      </c>
      <c r="W81" s="47">
        <v>5000</v>
      </c>
      <c r="X81" s="47">
        <v>5000</v>
      </c>
      <c r="Y81" s="47">
        <v>5000</v>
      </c>
      <c r="Z81" s="47">
        <v>5000</v>
      </c>
      <c r="AA81" s="47">
        <v>5000</v>
      </c>
      <c r="AB81" s="47">
        <v>5000</v>
      </c>
      <c r="AC81" s="29">
        <f t="shared" si="1"/>
        <v>60000</v>
      </c>
      <c r="AD81" s="2"/>
      <c r="AE81" s="2"/>
      <c r="AF81" s="2"/>
      <c r="AG81" s="2"/>
      <c r="AH81" s="2"/>
      <c r="AI81" s="2"/>
      <c r="AJ81" s="2"/>
      <c r="AK81" s="2"/>
      <c r="AL81" s="2"/>
      <c r="AM81" s="2"/>
      <c r="AN81" s="2"/>
      <c r="AO81" s="2"/>
      <c r="AP81" s="2"/>
      <c r="AQ81" s="2"/>
    </row>
    <row r="82" spans="1:43" x14ac:dyDescent="0.2">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2"/>
      <c r="AE82" s="2"/>
      <c r="AF82" s="2"/>
      <c r="AG82" s="2"/>
      <c r="AH82" s="2"/>
      <c r="AI82" s="2"/>
      <c r="AJ82" s="2"/>
      <c r="AK82" s="2"/>
      <c r="AL82" s="2"/>
      <c r="AM82" s="2"/>
      <c r="AN82" s="2"/>
      <c r="AO82" s="2"/>
      <c r="AP82" s="2"/>
      <c r="AQ82" s="2"/>
    </row>
    <row r="83" spans="1:43" ht="22" customHeight="1" x14ac:dyDescent="0.2">
      <c r="A83" s="1"/>
      <c r="B83" s="19" t="s">
        <v>317</v>
      </c>
      <c r="C83" s="6"/>
      <c r="D83" s="6"/>
      <c r="E83" s="6"/>
      <c r="F83" s="6"/>
      <c r="G83" s="6"/>
      <c r="H83" s="94"/>
      <c r="I83" s="94"/>
      <c r="J83" s="94"/>
      <c r="K83" s="94"/>
      <c r="L83" s="94"/>
      <c r="M83" s="94"/>
      <c r="N83" s="94"/>
      <c r="O83" s="94"/>
      <c r="P83" s="94"/>
      <c r="Q83" s="94"/>
      <c r="R83" s="94"/>
      <c r="S83" s="94"/>
      <c r="T83" s="94"/>
      <c r="U83" s="94"/>
      <c r="V83" s="94"/>
      <c r="W83" s="94"/>
      <c r="X83" s="94"/>
      <c r="Y83" s="94"/>
      <c r="Z83" s="94"/>
      <c r="AA83" s="94"/>
      <c r="AB83" s="94"/>
      <c r="AC83" s="94"/>
      <c r="AD83" s="2"/>
      <c r="AE83" s="2"/>
      <c r="AF83" s="2"/>
      <c r="AG83" s="2"/>
      <c r="AH83" s="2"/>
      <c r="AI83" s="2"/>
      <c r="AJ83" s="2"/>
      <c r="AK83" s="2"/>
      <c r="AL83" s="2"/>
      <c r="AM83" s="2"/>
      <c r="AN83" s="2"/>
      <c r="AO83" s="2"/>
      <c r="AP83" s="2"/>
      <c r="AQ83" s="2"/>
    </row>
    <row r="84" spans="1:43" ht="22" customHeight="1" x14ac:dyDescent="0.2">
      <c r="A84" s="1"/>
      <c r="B84" s="27"/>
      <c r="C84" s="1"/>
      <c r="D84" s="27" t="s">
        <v>276</v>
      </c>
      <c r="E84" s="28" t="s">
        <v>44</v>
      </c>
      <c r="F84" s="28" t="s">
        <v>45</v>
      </c>
      <c r="G84" s="28" t="s">
        <v>46</v>
      </c>
      <c r="H84" s="28" t="s">
        <v>47</v>
      </c>
      <c r="I84" s="28" t="s">
        <v>48</v>
      </c>
      <c r="J84" s="28" t="s">
        <v>49</v>
      </c>
      <c r="K84" s="28" t="s">
        <v>50</v>
      </c>
      <c r="L84" s="28" t="s">
        <v>51</v>
      </c>
      <c r="M84" s="28" t="s">
        <v>52</v>
      </c>
      <c r="N84" s="28" t="s">
        <v>53</v>
      </c>
      <c r="O84" s="28" t="s">
        <v>54</v>
      </c>
      <c r="P84" s="28" t="s">
        <v>55</v>
      </c>
      <c r="Q84" s="28" t="s">
        <v>56</v>
      </c>
      <c r="R84" s="28" t="s">
        <v>57</v>
      </c>
      <c r="S84" s="28" t="s">
        <v>58</v>
      </c>
      <c r="T84" s="28" t="s">
        <v>59</v>
      </c>
      <c r="U84" s="28" t="s">
        <v>60</v>
      </c>
      <c r="V84" s="28" t="s">
        <v>61</v>
      </c>
      <c r="W84" s="28" t="s">
        <v>62</v>
      </c>
      <c r="X84" s="28" t="s">
        <v>63</v>
      </c>
      <c r="Y84" s="28" t="s">
        <v>64</v>
      </c>
      <c r="Z84" s="28" t="s">
        <v>65</v>
      </c>
      <c r="AA84" s="28" t="s">
        <v>66</v>
      </c>
      <c r="AB84" s="28" t="s">
        <v>67</v>
      </c>
      <c r="AC84" s="28" t="s">
        <v>41</v>
      </c>
      <c r="AD84" s="2"/>
      <c r="AE84" s="2"/>
      <c r="AF84" s="2"/>
      <c r="AG84" s="2"/>
      <c r="AH84" s="2"/>
      <c r="AI84" s="2"/>
      <c r="AJ84" s="2"/>
      <c r="AK84" s="2"/>
      <c r="AL84" s="2"/>
      <c r="AM84" s="2"/>
      <c r="AN84" s="2"/>
      <c r="AO84" s="2"/>
      <c r="AP84" s="2"/>
      <c r="AQ84" s="2"/>
    </row>
    <row r="85" spans="1:43" ht="20" customHeight="1" x14ac:dyDescent="0.2">
      <c r="A85" s="1"/>
      <c r="B85" s="96" t="s">
        <v>318</v>
      </c>
      <c r="C85" s="1"/>
      <c r="D85" s="92" t="s">
        <v>319</v>
      </c>
      <c r="E85" s="47">
        <v>3000</v>
      </c>
      <c r="F85" s="47">
        <v>3000</v>
      </c>
      <c r="G85" s="47">
        <v>3000</v>
      </c>
      <c r="H85" s="47">
        <v>3000</v>
      </c>
      <c r="I85" s="47">
        <v>3000</v>
      </c>
      <c r="J85" s="47">
        <v>3000</v>
      </c>
      <c r="K85" s="47">
        <v>3000</v>
      </c>
      <c r="L85" s="47">
        <v>3000</v>
      </c>
      <c r="M85" s="47">
        <v>3000</v>
      </c>
      <c r="N85" s="47">
        <v>3000</v>
      </c>
      <c r="O85" s="47">
        <v>3000</v>
      </c>
      <c r="P85" s="47">
        <v>3000</v>
      </c>
      <c r="Q85" s="47">
        <v>3000</v>
      </c>
      <c r="R85" s="47">
        <v>3000</v>
      </c>
      <c r="S85" s="47">
        <v>3000</v>
      </c>
      <c r="T85" s="47">
        <v>3000</v>
      </c>
      <c r="U85" s="47">
        <v>3000</v>
      </c>
      <c r="V85" s="47">
        <v>3000</v>
      </c>
      <c r="W85" s="47">
        <v>3000</v>
      </c>
      <c r="X85" s="47">
        <v>3000</v>
      </c>
      <c r="Y85" s="47">
        <v>3000</v>
      </c>
      <c r="Z85" s="47">
        <v>3000</v>
      </c>
      <c r="AA85" s="47">
        <v>3000</v>
      </c>
      <c r="AB85" s="47">
        <v>3000</v>
      </c>
      <c r="AC85" s="29">
        <f>SUM(E85:P85)</f>
        <v>36000</v>
      </c>
      <c r="AD85" s="2"/>
      <c r="AE85" s="2"/>
      <c r="AF85" s="2"/>
      <c r="AG85" s="2"/>
      <c r="AH85" s="2"/>
      <c r="AI85" s="2"/>
      <c r="AJ85" s="2"/>
      <c r="AK85" s="2"/>
      <c r="AL85" s="2"/>
      <c r="AM85" s="2"/>
      <c r="AN85" s="2"/>
      <c r="AO85" s="2"/>
      <c r="AP85" s="2"/>
      <c r="AQ85" s="2"/>
    </row>
    <row r="86" spans="1:43" x14ac:dyDescent="0.2">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2"/>
      <c r="AE86" s="2"/>
      <c r="AF86" s="2"/>
      <c r="AG86" s="2"/>
      <c r="AH86" s="2"/>
      <c r="AI86" s="2"/>
      <c r="AJ86" s="2"/>
      <c r="AK86" s="2"/>
      <c r="AL86" s="2"/>
      <c r="AM86" s="2"/>
      <c r="AN86" s="2"/>
      <c r="AO86" s="2"/>
      <c r="AP86" s="2"/>
      <c r="AQ86" s="2"/>
    </row>
    <row r="87" spans="1:43" ht="22" customHeight="1" x14ac:dyDescent="0.2">
      <c r="A87" s="1"/>
      <c r="B87" s="19" t="s">
        <v>320</v>
      </c>
      <c r="C87" s="6"/>
      <c r="D87" s="6"/>
      <c r="E87" s="6"/>
      <c r="F87" s="6"/>
      <c r="G87" s="6"/>
      <c r="H87" s="94"/>
      <c r="I87" s="94"/>
      <c r="J87" s="94"/>
      <c r="K87" s="94"/>
      <c r="L87" s="94"/>
      <c r="M87" s="94"/>
      <c r="N87" s="94"/>
      <c r="O87" s="94"/>
      <c r="P87" s="94"/>
      <c r="Q87" s="94"/>
      <c r="R87" s="94"/>
      <c r="S87" s="94"/>
      <c r="T87" s="94"/>
      <c r="U87" s="94"/>
      <c r="V87" s="94"/>
      <c r="W87" s="94"/>
      <c r="X87" s="94"/>
      <c r="Y87" s="94"/>
      <c r="Z87" s="94"/>
      <c r="AA87" s="94"/>
      <c r="AB87" s="94"/>
      <c r="AC87" s="94"/>
      <c r="AD87" s="2"/>
      <c r="AE87" s="2"/>
      <c r="AF87" s="2"/>
      <c r="AG87" s="2"/>
      <c r="AH87" s="2"/>
      <c r="AI87" s="2"/>
      <c r="AJ87" s="2"/>
      <c r="AK87" s="2"/>
      <c r="AL87" s="2"/>
      <c r="AM87" s="2"/>
      <c r="AN87" s="2"/>
      <c r="AO87" s="2"/>
      <c r="AP87" s="2"/>
      <c r="AQ87" s="2"/>
    </row>
    <row r="88" spans="1:43" ht="22" customHeight="1" x14ac:dyDescent="0.2">
      <c r="A88" s="1"/>
      <c r="B88" s="27"/>
      <c r="C88" s="1"/>
      <c r="D88" s="27" t="s">
        <v>276</v>
      </c>
      <c r="E88" s="28" t="s">
        <v>44</v>
      </c>
      <c r="F88" s="28" t="s">
        <v>45</v>
      </c>
      <c r="G88" s="28" t="s">
        <v>46</v>
      </c>
      <c r="H88" s="28" t="s">
        <v>47</v>
      </c>
      <c r="I88" s="28" t="s">
        <v>48</v>
      </c>
      <c r="J88" s="28" t="s">
        <v>49</v>
      </c>
      <c r="K88" s="28" t="s">
        <v>50</v>
      </c>
      <c r="L88" s="28" t="s">
        <v>51</v>
      </c>
      <c r="M88" s="28" t="s">
        <v>52</v>
      </c>
      <c r="N88" s="28" t="s">
        <v>53</v>
      </c>
      <c r="O88" s="28" t="s">
        <v>54</v>
      </c>
      <c r="P88" s="28" t="s">
        <v>55</v>
      </c>
      <c r="Q88" s="28" t="s">
        <v>56</v>
      </c>
      <c r="R88" s="28" t="s">
        <v>57</v>
      </c>
      <c r="S88" s="28" t="s">
        <v>58</v>
      </c>
      <c r="T88" s="28" t="s">
        <v>59</v>
      </c>
      <c r="U88" s="28" t="s">
        <v>60</v>
      </c>
      <c r="V88" s="28" t="s">
        <v>61</v>
      </c>
      <c r="W88" s="28" t="s">
        <v>62</v>
      </c>
      <c r="X88" s="28" t="s">
        <v>63</v>
      </c>
      <c r="Y88" s="28" t="s">
        <v>64</v>
      </c>
      <c r="Z88" s="28" t="s">
        <v>65</v>
      </c>
      <c r="AA88" s="28" t="s">
        <v>66</v>
      </c>
      <c r="AB88" s="28" t="s">
        <v>67</v>
      </c>
      <c r="AC88" s="28" t="s">
        <v>41</v>
      </c>
      <c r="AD88" s="2"/>
      <c r="AE88" s="2"/>
      <c r="AF88" s="2"/>
      <c r="AG88" s="2"/>
      <c r="AH88" s="2"/>
      <c r="AI88" s="2"/>
      <c r="AJ88" s="2"/>
      <c r="AK88" s="2"/>
      <c r="AL88" s="2"/>
      <c r="AM88" s="2"/>
      <c r="AN88" s="2"/>
      <c r="AO88" s="2"/>
      <c r="AP88" s="2"/>
      <c r="AQ88" s="2"/>
    </row>
    <row r="89" spans="1:43" ht="20" customHeight="1" x14ac:dyDescent="0.2">
      <c r="A89" s="1"/>
      <c r="B89" s="96" t="s">
        <v>321</v>
      </c>
      <c r="C89" s="1"/>
      <c r="D89" s="92" t="s">
        <v>322</v>
      </c>
      <c r="E89" s="47">
        <v>0</v>
      </c>
      <c r="F89" s="47">
        <v>0</v>
      </c>
      <c r="G89" s="47">
        <v>35000</v>
      </c>
      <c r="H89" s="47">
        <v>0</v>
      </c>
      <c r="I89" s="47">
        <v>0</v>
      </c>
      <c r="J89" s="47">
        <v>0</v>
      </c>
      <c r="K89" s="47">
        <v>0</v>
      </c>
      <c r="L89" s="47">
        <v>0</v>
      </c>
      <c r="M89" s="47">
        <v>0</v>
      </c>
      <c r="N89" s="47">
        <v>0</v>
      </c>
      <c r="O89" s="47">
        <v>20000</v>
      </c>
      <c r="P89" s="47">
        <v>0</v>
      </c>
      <c r="Q89" s="47">
        <v>0</v>
      </c>
      <c r="R89" s="47">
        <v>0</v>
      </c>
      <c r="S89" s="47">
        <v>0</v>
      </c>
      <c r="T89" s="47">
        <v>25000</v>
      </c>
      <c r="U89" s="47">
        <v>0</v>
      </c>
      <c r="V89" s="47">
        <v>0</v>
      </c>
      <c r="W89" s="47">
        <v>0</v>
      </c>
      <c r="X89" s="47">
        <v>0</v>
      </c>
      <c r="Y89" s="47">
        <v>0</v>
      </c>
      <c r="Z89" s="47">
        <v>0</v>
      </c>
      <c r="AA89" s="47">
        <v>0</v>
      </c>
      <c r="AB89" s="47">
        <v>0</v>
      </c>
      <c r="AC89" s="29">
        <f>SUM(E89:P89)</f>
        <v>55000</v>
      </c>
      <c r="AD89" s="2"/>
      <c r="AE89" s="2"/>
      <c r="AF89" s="2"/>
      <c r="AG89" s="2"/>
      <c r="AH89" s="2"/>
      <c r="AI89" s="2"/>
      <c r="AJ89" s="2"/>
      <c r="AK89" s="2"/>
      <c r="AL89" s="2"/>
      <c r="AM89" s="2"/>
      <c r="AN89" s="2"/>
      <c r="AO89" s="2"/>
      <c r="AP89" s="2"/>
      <c r="AQ89" s="2"/>
    </row>
    <row r="90" spans="1:43" x14ac:dyDescent="0.2">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2"/>
      <c r="AE90" s="2"/>
      <c r="AF90" s="2"/>
      <c r="AG90" s="2"/>
      <c r="AH90" s="2"/>
      <c r="AI90" s="2"/>
      <c r="AJ90" s="2"/>
      <c r="AK90" s="2"/>
      <c r="AL90" s="2"/>
      <c r="AM90" s="2"/>
      <c r="AN90" s="2"/>
      <c r="AO90" s="2"/>
      <c r="AP90" s="2"/>
      <c r="AQ90" s="2"/>
    </row>
    <row r="91" spans="1:43" ht="22" customHeight="1" x14ac:dyDescent="0.2">
      <c r="A91" s="1"/>
      <c r="B91" s="19" t="s">
        <v>323</v>
      </c>
      <c r="C91" s="6"/>
      <c r="D91" s="6"/>
      <c r="E91" s="6"/>
      <c r="F91" s="6"/>
      <c r="G91" s="6"/>
      <c r="H91" s="94"/>
      <c r="I91" s="94"/>
      <c r="J91" s="94"/>
      <c r="K91" s="94"/>
      <c r="L91" s="94"/>
      <c r="M91" s="94"/>
      <c r="N91" s="94"/>
      <c r="O91" s="94"/>
      <c r="P91" s="94"/>
      <c r="Q91" s="94"/>
      <c r="R91" s="94"/>
      <c r="S91" s="94"/>
      <c r="T91" s="94"/>
      <c r="U91" s="94"/>
      <c r="V91" s="94"/>
      <c r="W91" s="94"/>
      <c r="X91" s="94"/>
      <c r="Y91" s="94"/>
      <c r="Z91" s="94"/>
      <c r="AA91" s="94"/>
      <c r="AB91" s="94"/>
      <c r="AC91" s="94"/>
      <c r="AD91" s="2"/>
      <c r="AE91" s="2"/>
      <c r="AF91" s="2"/>
      <c r="AG91" s="2"/>
      <c r="AH91" s="2"/>
      <c r="AI91" s="2"/>
      <c r="AJ91" s="2"/>
      <c r="AK91" s="2"/>
      <c r="AL91" s="2"/>
      <c r="AM91" s="2"/>
      <c r="AN91" s="2"/>
      <c r="AO91" s="2"/>
      <c r="AP91" s="2"/>
      <c r="AQ91" s="2"/>
    </row>
    <row r="92" spans="1:43" ht="22" customHeight="1" x14ac:dyDescent="0.2">
      <c r="A92" s="1"/>
      <c r="B92" s="27"/>
      <c r="C92" s="1"/>
      <c r="D92" s="27" t="s">
        <v>276</v>
      </c>
      <c r="E92" s="28" t="s">
        <v>44</v>
      </c>
      <c r="F92" s="28" t="s">
        <v>45</v>
      </c>
      <c r="G92" s="28" t="s">
        <v>46</v>
      </c>
      <c r="H92" s="28" t="s">
        <v>47</v>
      </c>
      <c r="I92" s="28" t="s">
        <v>48</v>
      </c>
      <c r="J92" s="28" t="s">
        <v>49</v>
      </c>
      <c r="K92" s="28" t="s">
        <v>50</v>
      </c>
      <c r="L92" s="28" t="s">
        <v>51</v>
      </c>
      <c r="M92" s="28" t="s">
        <v>52</v>
      </c>
      <c r="N92" s="28" t="s">
        <v>53</v>
      </c>
      <c r="O92" s="28" t="s">
        <v>54</v>
      </c>
      <c r="P92" s="28" t="s">
        <v>55</v>
      </c>
      <c r="Q92" s="28" t="s">
        <v>56</v>
      </c>
      <c r="R92" s="28" t="s">
        <v>57</v>
      </c>
      <c r="S92" s="28" t="s">
        <v>58</v>
      </c>
      <c r="T92" s="28" t="s">
        <v>59</v>
      </c>
      <c r="U92" s="28" t="s">
        <v>60</v>
      </c>
      <c r="V92" s="28" t="s">
        <v>61</v>
      </c>
      <c r="W92" s="28" t="s">
        <v>62</v>
      </c>
      <c r="X92" s="28" t="s">
        <v>63</v>
      </c>
      <c r="Y92" s="28" t="s">
        <v>64</v>
      </c>
      <c r="Z92" s="28" t="s">
        <v>65</v>
      </c>
      <c r="AA92" s="28" t="s">
        <v>66</v>
      </c>
      <c r="AB92" s="28" t="s">
        <v>67</v>
      </c>
      <c r="AC92" s="28" t="s">
        <v>41</v>
      </c>
      <c r="AD92" s="2"/>
      <c r="AE92" s="2"/>
      <c r="AF92" s="2"/>
      <c r="AG92" s="2"/>
      <c r="AH92" s="2"/>
      <c r="AI92" s="2"/>
      <c r="AJ92" s="2"/>
      <c r="AK92" s="2"/>
      <c r="AL92" s="2"/>
      <c r="AM92" s="2"/>
      <c r="AN92" s="2"/>
      <c r="AO92" s="2"/>
      <c r="AP92" s="2"/>
      <c r="AQ92" s="2"/>
    </row>
    <row r="93" spans="1:43" ht="20" customHeight="1" x14ac:dyDescent="0.2">
      <c r="A93" s="1"/>
      <c r="B93" s="96" t="s">
        <v>324</v>
      </c>
      <c r="C93" s="1"/>
      <c r="D93" s="92" t="s">
        <v>325</v>
      </c>
      <c r="E93" s="47">
        <v>0</v>
      </c>
      <c r="F93" s="47">
        <v>0</v>
      </c>
      <c r="G93" s="47">
        <v>0</v>
      </c>
      <c r="H93" s="47">
        <v>0</v>
      </c>
      <c r="I93" s="47">
        <v>0</v>
      </c>
      <c r="J93" s="47">
        <v>0</v>
      </c>
      <c r="K93" s="47">
        <v>0</v>
      </c>
      <c r="L93" s="47">
        <v>0</v>
      </c>
      <c r="M93" s="47">
        <v>0</v>
      </c>
      <c r="N93" s="47">
        <v>0</v>
      </c>
      <c r="O93" s="47">
        <v>0</v>
      </c>
      <c r="P93" s="47">
        <v>0</v>
      </c>
      <c r="Q93" s="47">
        <v>0</v>
      </c>
      <c r="R93" s="47">
        <v>0</v>
      </c>
      <c r="S93" s="47">
        <v>0</v>
      </c>
      <c r="T93" s="47">
        <v>0</v>
      </c>
      <c r="U93" s="47">
        <v>0</v>
      </c>
      <c r="V93" s="47">
        <v>0</v>
      </c>
      <c r="W93" s="47">
        <v>0</v>
      </c>
      <c r="X93" s="47">
        <v>0</v>
      </c>
      <c r="Y93" s="47">
        <v>0</v>
      </c>
      <c r="Z93" s="47">
        <v>0</v>
      </c>
      <c r="AA93" s="47">
        <v>0</v>
      </c>
      <c r="AB93" s="47">
        <v>0</v>
      </c>
      <c r="AC93" s="29">
        <f>SUM(E93:P93)</f>
        <v>0</v>
      </c>
      <c r="AD93" s="2"/>
      <c r="AE93" s="2"/>
      <c r="AF93" s="2"/>
      <c r="AG93" s="2"/>
      <c r="AH93" s="2"/>
      <c r="AI93" s="2"/>
      <c r="AJ93" s="2"/>
      <c r="AK93" s="2"/>
      <c r="AL93" s="2"/>
      <c r="AM93" s="2"/>
      <c r="AN93" s="2"/>
      <c r="AO93" s="2"/>
      <c r="AP93" s="2"/>
      <c r="AQ93" s="2"/>
    </row>
    <row r="94" spans="1:43" ht="20" customHeight="1" x14ac:dyDescent="0.2">
      <c r="A94" s="1"/>
      <c r="B94" s="96" t="s">
        <v>326</v>
      </c>
      <c r="C94" s="1"/>
      <c r="D94" s="92" t="s">
        <v>327</v>
      </c>
      <c r="E94" s="47">
        <v>8333</v>
      </c>
      <c r="F94" s="47">
        <v>8333</v>
      </c>
      <c r="G94" s="47">
        <v>8333</v>
      </c>
      <c r="H94" s="47">
        <v>8333</v>
      </c>
      <c r="I94" s="47">
        <v>8333</v>
      </c>
      <c r="J94" s="47">
        <v>8333</v>
      </c>
      <c r="K94" s="47">
        <v>8333</v>
      </c>
      <c r="L94" s="47">
        <v>8333</v>
      </c>
      <c r="M94" s="47">
        <v>8333</v>
      </c>
      <c r="N94" s="47">
        <v>8333</v>
      </c>
      <c r="O94" s="47">
        <v>8333</v>
      </c>
      <c r="P94" s="47">
        <v>8333</v>
      </c>
      <c r="Q94" s="47">
        <v>8333</v>
      </c>
      <c r="R94" s="47">
        <v>8333</v>
      </c>
      <c r="S94" s="47">
        <v>8333</v>
      </c>
      <c r="T94" s="47">
        <v>8333</v>
      </c>
      <c r="U94" s="47">
        <v>8333</v>
      </c>
      <c r="V94" s="47">
        <v>8333</v>
      </c>
      <c r="W94" s="47">
        <v>8333</v>
      </c>
      <c r="X94" s="47">
        <v>8333</v>
      </c>
      <c r="Y94" s="47">
        <v>8333</v>
      </c>
      <c r="Z94" s="47">
        <v>8333</v>
      </c>
      <c r="AA94" s="47">
        <v>8333</v>
      </c>
      <c r="AB94" s="47">
        <v>8333</v>
      </c>
      <c r="AC94" s="29">
        <f>SUM(E94:P94)</f>
        <v>99996</v>
      </c>
      <c r="AD94" s="2"/>
      <c r="AE94" s="2"/>
      <c r="AF94" s="2"/>
      <c r="AG94" s="2"/>
      <c r="AH94" s="2"/>
      <c r="AI94" s="2"/>
      <c r="AJ94" s="2"/>
      <c r="AK94" s="2"/>
      <c r="AL94" s="2"/>
      <c r="AM94" s="2"/>
      <c r="AN94" s="2"/>
      <c r="AO94" s="2"/>
      <c r="AP94" s="2"/>
      <c r="AQ94" s="2"/>
    </row>
    <row r="95" spans="1:43" x14ac:dyDescent="0.2">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2"/>
      <c r="AE95" s="2"/>
      <c r="AF95" s="2"/>
      <c r="AG95" s="2"/>
      <c r="AH95" s="2"/>
      <c r="AI95" s="2"/>
      <c r="AJ95" s="2"/>
      <c r="AK95" s="2"/>
      <c r="AL95" s="2"/>
      <c r="AM95" s="2"/>
      <c r="AN95" s="2"/>
      <c r="AO95" s="2"/>
      <c r="AP95" s="2"/>
      <c r="AQ95" s="2"/>
    </row>
    <row r="96" spans="1:43" ht="22" customHeight="1" x14ac:dyDescent="0.2">
      <c r="A96" s="1"/>
      <c r="B96" s="19" t="s">
        <v>328</v>
      </c>
      <c r="C96" s="6"/>
      <c r="D96" s="6"/>
      <c r="E96" s="6"/>
      <c r="F96" s="6"/>
      <c r="G96" s="6"/>
      <c r="H96" s="94"/>
      <c r="I96" s="94"/>
      <c r="J96" s="94"/>
      <c r="K96" s="94"/>
      <c r="L96" s="94"/>
      <c r="M96" s="94"/>
      <c r="N96" s="94"/>
      <c r="O96" s="94"/>
      <c r="P96" s="94"/>
      <c r="Q96" s="94"/>
      <c r="R96" s="94"/>
      <c r="S96" s="94"/>
      <c r="T96" s="94"/>
      <c r="U96" s="94"/>
      <c r="V96" s="94"/>
      <c r="W96" s="94"/>
      <c r="X96" s="94"/>
      <c r="Y96" s="94"/>
      <c r="Z96" s="94"/>
      <c r="AA96" s="94"/>
      <c r="AB96" s="94"/>
      <c r="AC96" s="94"/>
      <c r="AD96" s="2"/>
      <c r="AE96" s="2"/>
      <c r="AF96" s="2"/>
      <c r="AG96" s="2"/>
      <c r="AH96" s="2"/>
      <c r="AI96" s="2"/>
      <c r="AJ96" s="2"/>
      <c r="AK96" s="2"/>
      <c r="AL96" s="2"/>
      <c r="AM96" s="2"/>
      <c r="AN96" s="2"/>
      <c r="AO96" s="2"/>
      <c r="AP96" s="2"/>
      <c r="AQ96" s="2"/>
    </row>
    <row r="97" spans="1:43" ht="22" customHeight="1" x14ac:dyDescent="0.2">
      <c r="A97" s="1"/>
      <c r="B97" s="27"/>
      <c r="C97" s="1"/>
      <c r="D97" s="27" t="s">
        <v>276</v>
      </c>
      <c r="E97" s="28" t="s">
        <v>44</v>
      </c>
      <c r="F97" s="28" t="s">
        <v>45</v>
      </c>
      <c r="G97" s="28" t="s">
        <v>46</v>
      </c>
      <c r="H97" s="28" t="s">
        <v>47</v>
      </c>
      <c r="I97" s="28" t="s">
        <v>48</v>
      </c>
      <c r="J97" s="28" t="s">
        <v>49</v>
      </c>
      <c r="K97" s="28" t="s">
        <v>50</v>
      </c>
      <c r="L97" s="28" t="s">
        <v>51</v>
      </c>
      <c r="M97" s="28" t="s">
        <v>52</v>
      </c>
      <c r="N97" s="28" t="s">
        <v>53</v>
      </c>
      <c r="O97" s="28" t="s">
        <v>54</v>
      </c>
      <c r="P97" s="28" t="s">
        <v>55</v>
      </c>
      <c r="Q97" s="28" t="s">
        <v>56</v>
      </c>
      <c r="R97" s="28" t="s">
        <v>57</v>
      </c>
      <c r="S97" s="28" t="s">
        <v>58</v>
      </c>
      <c r="T97" s="28" t="s">
        <v>59</v>
      </c>
      <c r="U97" s="28" t="s">
        <v>60</v>
      </c>
      <c r="V97" s="28" t="s">
        <v>61</v>
      </c>
      <c r="W97" s="28" t="s">
        <v>62</v>
      </c>
      <c r="X97" s="28" t="s">
        <v>63</v>
      </c>
      <c r="Y97" s="28" t="s">
        <v>64</v>
      </c>
      <c r="Z97" s="28" t="s">
        <v>65</v>
      </c>
      <c r="AA97" s="28" t="s">
        <v>66</v>
      </c>
      <c r="AB97" s="28" t="s">
        <v>67</v>
      </c>
      <c r="AC97" s="28" t="s">
        <v>41</v>
      </c>
      <c r="AD97" s="2"/>
      <c r="AE97" s="2"/>
      <c r="AF97" s="2"/>
      <c r="AG97" s="2"/>
      <c r="AH97" s="2"/>
      <c r="AI97" s="2"/>
      <c r="AJ97" s="2"/>
      <c r="AK97" s="2"/>
      <c r="AL97" s="2"/>
      <c r="AM97" s="2"/>
      <c r="AN97" s="2"/>
      <c r="AO97" s="2"/>
      <c r="AP97" s="2"/>
      <c r="AQ97" s="2"/>
    </row>
    <row r="98" spans="1:43" ht="20" customHeight="1" x14ac:dyDescent="0.2">
      <c r="A98" s="1"/>
      <c r="B98" s="96" t="s">
        <v>329</v>
      </c>
      <c r="C98" s="1"/>
      <c r="D98" s="92" t="s">
        <v>330</v>
      </c>
      <c r="E98" s="47">
        <v>8000</v>
      </c>
      <c r="F98" s="47">
        <v>8000</v>
      </c>
      <c r="G98" s="47">
        <v>8000</v>
      </c>
      <c r="H98" s="47">
        <v>8000</v>
      </c>
      <c r="I98" s="47">
        <v>8000</v>
      </c>
      <c r="J98" s="47">
        <v>8000</v>
      </c>
      <c r="K98" s="47">
        <v>8000</v>
      </c>
      <c r="L98" s="47">
        <v>8000</v>
      </c>
      <c r="M98" s="47">
        <v>8000</v>
      </c>
      <c r="N98" s="47">
        <v>8000</v>
      </c>
      <c r="O98" s="47">
        <v>8000</v>
      </c>
      <c r="P98" s="47">
        <v>38000</v>
      </c>
      <c r="Q98" s="47">
        <v>8000</v>
      </c>
      <c r="R98" s="47">
        <v>8000</v>
      </c>
      <c r="S98" s="47">
        <v>8000</v>
      </c>
      <c r="T98" s="47">
        <v>8000</v>
      </c>
      <c r="U98" s="47">
        <v>8000</v>
      </c>
      <c r="V98" s="47">
        <v>8000</v>
      </c>
      <c r="W98" s="47">
        <v>8000</v>
      </c>
      <c r="X98" s="47">
        <v>8000</v>
      </c>
      <c r="Y98" s="47">
        <v>8000</v>
      </c>
      <c r="Z98" s="47">
        <v>8000</v>
      </c>
      <c r="AA98" s="47">
        <v>8000</v>
      </c>
      <c r="AB98" s="47">
        <v>42000</v>
      </c>
      <c r="AC98" s="29">
        <f>SUM(E98:P98)</f>
        <v>126000</v>
      </c>
      <c r="AD98" s="2"/>
      <c r="AE98" s="2"/>
      <c r="AF98" s="2"/>
      <c r="AG98" s="2"/>
      <c r="AH98" s="2"/>
      <c r="AI98" s="2"/>
      <c r="AJ98" s="2"/>
      <c r="AK98" s="2"/>
      <c r="AL98" s="2"/>
      <c r="AM98" s="2"/>
      <c r="AN98" s="2"/>
      <c r="AO98" s="2"/>
      <c r="AP98" s="2"/>
      <c r="AQ98" s="2"/>
    </row>
    <row r="99" spans="1:43" ht="20" customHeight="1" x14ac:dyDescent="0.2">
      <c r="A99" s="1"/>
      <c r="B99" s="96" t="s">
        <v>331</v>
      </c>
      <c r="C99" s="1"/>
      <c r="D99" s="92" t="s">
        <v>332</v>
      </c>
      <c r="E99" s="47">
        <v>0</v>
      </c>
      <c r="F99" s="47">
        <v>0</v>
      </c>
      <c r="G99" s="47">
        <v>0</v>
      </c>
      <c r="H99" s="47">
        <v>0</v>
      </c>
      <c r="I99" s="47">
        <v>0</v>
      </c>
      <c r="J99" s="47">
        <v>0</v>
      </c>
      <c r="K99" s="47">
        <v>0</v>
      </c>
      <c r="L99" s="47">
        <v>0</v>
      </c>
      <c r="M99" s="47">
        <v>0</v>
      </c>
      <c r="N99" s="47">
        <v>0</v>
      </c>
      <c r="O99" s="47">
        <v>0</v>
      </c>
      <c r="P99" s="47">
        <v>0</v>
      </c>
      <c r="Q99" s="47">
        <v>0</v>
      </c>
      <c r="R99" s="47">
        <v>0</v>
      </c>
      <c r="S99" s="47">
        <v>0</v>
      </c>
      <c r="T99" s="47">
        <v>0</v>
      </c>
      <c r="U99" s="47">
        <v>0</v>
      </c>
      <c r="V99" s="47">
        <v>0</v>
      </c>
      <c r="W99" s="47">
        <v>0</v>
      </c>
      <c r="X99" s="47">
        <v>0</v>
      </c>
      <c r="Y99" s="47">
        <v>0</v>
      </c>
      <c r="Z99" s="47">
        <v>0</v>
      </c>
      <c r="AA99" s="47">
        <v>0</v>
      </c>
      <c r="AB99" s="47">
        <v>0</v>
      </c>
      <c r="AC99" s="29">
        <f>SUM(E99:P99)</f>
        <v>0</v>
      </c>
      <c r="AD99" s="2"/>
      <c r="AE99" s="2"/>
      <c r="AF99" s="2"/>
      <c r="AG99" s="2"/>
      <c r="AH99" s="2"/>
      <c r="AI99" s="2"/>
      <c r="AJ99" s="2"/>
      <c r="AK99" s="2"/>
      <c r="AL99" s="2"/>
      <c r="AM99" s="2"/>
      <c r="AN99" s="2"/>
      <c r="AO99" s="2"/>
      <c r="AP99" s="2"/>
      <c r="AQ99" s="2"/>
    </row>
    <row r="100" spans="1:43" x14ac:dyDescent="0.2">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2"/>
      <c r="AE100" s="2"/>
      <c r="AF100" s="2"/>
      <c r="AG100" s="2"/>
      <c r="AH100" s="2"/>
      <c r="AI100" s="2"/>
      <c r="AJ100" s="2"/>
      <c r="AK100" s="2"/>
      <c r="AL100" s="2"/>
      <c r="AM100" s="2"/>
      <c r="AN100" s="2"/>
      <c r="AO100" s="2"/>
      <c r="AP100" s="2"/>
      <c r="AQ100" s="2"/>
    </row>
    <row r="101" spans="1:43" ht="22" customHeight="1" x14ac:dyDescent="0.2">
      <c r="A101" s="1"/>
      <c r="B101" s="19" t="s">
        <v>333</v>
      </c>
      <c r="C101" s="15" t="s">
        <v>334</v>
      </c>
      <c r="D101" s="6"/>
      <c r="E101" s="6"/>
      <c r="F101" s="6"/>
      <c r="G101" s="6"/>
      <c r="H101" s="94"/>
      <c r="I101" s="94"/>
      <c r="J101" s="94"/>
      <c r="K101" s="94"/>
      <c r="L101" s="94"/>
      <c r="M101" s="94"/>
      <c r="N101" s="94"/>
      <c r="O101" s="94"/>
      <c r="P101" s="94"/>
      <c r="Q101" s="94"/>
      <c r="R101" s="94"/>
      <c r="S101" s="94"/>
      <c r="T101" s="94"/>
      <c r="U101" s="94"/>
      <c r="V101" s="94"/>
      <c r="W101" s="94"/>
      <c r="X101" s="94"/>
      <c r="Y101" s="94"/>
      <c r="Z101" s="94"/>
      <c r="AA101" s="94"/>
      <c r="AB101" s="94"/>
      <c r="AC101" s="95"/>
      <c r="AD101" s="2"/>
      <c r="AE101" s="2"/>
      <c r="AF101" s="2"/>
      <c r="AG101" s="2"/>
      <c r="AH101" s="2"/>
      <c r="AI101" s="2"/>
      <c r="AJ101" s="2"/>
      <c r="AK101" s="2"/>
      <c r="AL101" s="2"/>
      <c r="AM101" s="2"/>
      <c r="AN101" s="2"/>
      <c r="AO101" s="2"/>
      <c r="AP101" s="2"/>
      <c r="AQ101" s="2"/>
    </row>
    <row r="102" spans="1:43" ht="22" customHeight="1" x14ac:dyDescent="0.2">
      <c r="A102" s="1"/>
      <c r="B102" s="27"/>
      <c r="C102" s="1"/>
      <c r="D102" s="27" t="s">
        <v>276</v>
      </c>
      <c r="E102" s="28" t="s">
        <v>44</v>
      </c>
      <c r="F102" s="28" t="s">
        <v>45</v>
      </c>
      <c r="G102" s="28" t="s">
        <v>46</v>
      </c>
      <c r="H102" s="28" t="s">
        <v>47</v>
      </c>
      <c r="I102" s="28" t="s">
        <v>48</v>
      </c>
      <c r="J102" s="28" t="s">
        <v>49</v>
      </c>
      <c r="K102" s="28" t="s">
        <v>50</v>
      </c>
      <c r="L102" s="28" t="s">
        <v>51</v>
      </c>
      <c r="M102" s="28" t="s">
        <v>52</v>
      </c>
      <c r="N102" s="28" t="s">
        <v>53</v>
      </c>
      <c r="O102" s="28" t="s">
        <v>54</v>
      </c>
      <c r="P102" s="28" t="s">
        <v>55</v>
      </c>
      <c r="Q102" s="28" t="s">
        <v>56</v>
      </c>
      <c r="R102" s="28" t="s">
        <v>57</v>
      </c>
      <c r="S102" s="28" t="s">
        <v>58</v>
      </c>
      <c r="T102" s="28" t="s">
        <v>59</v>
      </c>
      <c r="U102" s="28" t="s">
        <v>60</v>
      </c>
      <c r="V102" s="28" t="s">
        <v>61</v>
      </c>
      <c r="W102" s="28" t="s">
        <v>62</v>
      </c>
      <c r="X102" s="28" t="s">
        <v>63</v>
      </c>
      <c r="Y102" s="28" t="s">
        <v>64</v>
      </c>
      <c r="Z102" s="28" t="s">
        <v>65</v>
      </c>
      <c r="AA102" s="28" t="s">
        <v>66</v>
      </c>
      <c r="AB102" s="28" t="s">
        <v>67</v>
      </c>
      <c r="AC102" s="28" t="s">
        <v>41</v>
      </c>
      <c r="AD102" s="2"/>
      <c r="AE102" s="2"/>
      <c r="AF102" s="2"/>
      <c r="AG102" s="2"/>
      <c r="AH102" s="2"/>
      <c r="AI102" s="2"/>
      <c r="AJ102" s="2"/>
      <c r="AK102" s="2"/>
      <c r="AL102" s="2"/>
      <c r="AM102" s="2"/>
      <c r="AN102" s="2"/>
      <c r="AO102" s="2"/>
      <c r="AP102" s="2"/>
      <c r="AQ102" s="2"/>
    </row>
    <row r="103" spans="1:43" ht="20" customHeight="1" x14ac:dyDescent="0.2">
      <c r="A103" s="1"/>
      <c r="B103" s="96" t="s">
        <v>335</v>
      </c>
      <c r="C103" s="1"/>
      <c r="D103" s="92" t="s">
        <v>336</v>
      </c>
      <c r="E103" s="53">
        <v>0</v>
      </c>
      <c r="F103" s="53">
        <v>0</v>
      </c>
      <c r="G103" s="53">
        <v>0</v>
      </c>
      <c r="H103" s="53">
        <v>0.25</v>
      </c>
      <c r="I103" s="53">
        <v>0</v>
      </c>
      <c r="J103" s="53">
        <v>0</v>
      </c>
      <c r="K103" s="53">
        <v>0</v>
      </c>
      <c r="L103" s="53">
        <v>0.25</v>
      </c>
      <c r="M103" s="53">
        <v>0</v>
      </c>
      <c r="N103" s="53">
        <v>0.25</v>
      </c>
      <c r="O103" s="53">
        <v>0</v>
      </c>
      <c r="P103" s="53">
        <v>0</v>
      </c>
      <c r="Q103" s="53">
        <v>0</v>
      </c>
      <c r="R103" s="53">
        <v>0</v>
      </c>
      <c r="S103" s="53">
        <v>0</v>
      </c>
      <c r="T103" s="53">
        <v>0.25</v>
      </c>
      <c r="U103" s="53">
        <v>0</v>
      </c>
      <c r="V103" s="53">
        <v>0</v>
      </c>
      <c r="W103" s="53">
        <v>0</v>
      </c>
      <c r="X103" s="53">
        <v>0.25</v>
      </c>
      <c r="Y103" s="53">
        <v>0</v>
      </c>
      <c r="Z103" s="53">
        <v>0.25</v>
      </c>
      <c r="AA103" s="53">
        <v>0</v>
      </c>
      <c r="AB103" s="53">
        <v>0</v>
      </c>
      <c r="AC103" s="31">
        <f>SUM(E103:P103)</f>
        <v>0.75</v>
      </c>
      <c r="AD103" s="2"/>
      <c r="AE103" s="2"/>
      <c r="AF103" s="2"/>
      <c r="AG103" s="2"/>
      <c r="AH103" s="2"/>
      <c r="AI103" s="2"/>
      <c r="AJ103" s="2"/>
      <c r="AK103" s="2"/>
      <c r="AL103" s="2"/>
      <c r="AM103" s="2"/>
      <c r="AN103" s="2"/>
      <c r="AO103" s="2"/>
      <c r="AP103" s="2"/>
      <c r="AQ103" s="2"/>
    </row>
    <row r="104" spans="1:43" x14ac:dyDescent="0.2">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2"/>
      <c r="AE104" s="2"/>
      <c r="AF104" s="32">
        <v>0</v>
      </c>
      <c r="AG104" s="32">
        <v>0</v>
      </c>
      <c r="AH104" s="32">
        <v>0</v>
      </c>
      <c r="AI104" s="32">
        <v>0.25</v>
      </c>
      <c r="AJ104" s="32">
        <v>0</v>
      </c>
      <c r="AK104" s="32">
        <v>0</v>
      </c>
      <c r="AL104" s="32">
        <v>0</v>
      </c>
      <c r="AM104" s="32">
        <v>0.25</v>
      </c>
      <c r="AN104" s="32">
        <v>0</v>
      </c>
      <c r="AO104" s="32">
        <v>0.25</v>
      </c>
      <c r="AP104" s="32">
        <v>0</v>
      </c>
      <c r="AQ104" s="32">
        <v>0</v>
      </c>
    </row>
    <row r="105" spans="1:43" x14ac:dyDescent="0.2">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2"/>
      <c r="AE105" s="2"/>
      <c r="AF105" s="32">
        <v>0</v>
      </c>
      <c r="AG105" s="32">
        <v>0</v>
      </c>
      <c r="AH105" s="32">
        <v>0</v>
      </c>
      <c r="AI105" s="32">
        <v>0</v>
      </c>
      <c r="AJ105" s="32">
        <v>0.33300000000000002</v>
      </c>
      <c r="AK105" s="32">
        <v>0</v>
      </c>
      <c r="AL105" s="32">
        <v>0</v>
      </c>
      <c r="AM105" s="32">
        <v>0</v>
      </c>
      <c r="AN105" s="32">
        <v>0</v>
      </c>
      <c r="AO105" s="32">
        <v>0.33400000000000002</v>
      </c>
      <c r="AP105" s="32">
        <v>0</v>
      </c>
      <c r="AQ105" s="32">
        <v>0</v>
      </c>
    </row>
    <row r="106" spans="1:43" x14ac:dyDescent="0.2">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2"/>
      <c r="AE106" s="2"/>
      <c r="AF106" s="32">
        <v>0</v>
      </c>
      <c r="AG106" s="32">
        <v>0</v>
      </c>
      <c r="AH106" s="32">
        <v>0</v>
      </c>
      <c r="AI106" s="32">
        <v>0.25</v>
      </c>
      <c r="AJ106" s="32">
        <v>0</v>
      </c>
      <c r="AK106" s="32">
        <v>0.25</v>
      </c>
      <c r="AL106" s="32">
        <v>0</v>
      </c>
      <c r="AM106" s="32">
        <v>0</v>
      </c>
      <c r="AN106" s="32">
        <v>0.25</v>
      </c>
      <c r="AO106" s="32">
        <v>0</v>
      </c>
      <c r="AP106" s="32">
        <v>0</v>
      </c>
      <c r="AQ106" s="32">
        <v>0</v>
      </c>
    </row>
    <row r="107" spans="1:43" x14ac:dyDescent="0.2">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2"/>
      <c r="AE107" s="2"/>
      <c r="AF107" s="2"/>
      <c r="AG107" s="2"/>
      <c r="AH107" s="2"/>
      <c r="AI107" s="2"/>
      <c r="AJ107" s="2"/>
      <c r="AK107" s="2"/>
      <c r="AL107" s="2"/>
      <c r="AM107" s="2"/>
      <c r="AN107" s="2"/>
      <c r="AO107" s="2"/>
      <c r="AP107" s="2"/>
      <c r="AQ107" s="2"/>
    </row>
    <row r="108" spans="1:43" ht="22" customHeight="1" x14ac:dyDescent="0.2">
      <c r="A108" s="1"/>
      <c r="B108" s="19" t="s">
        <v>337</v>
      </c>
      <c r="C108" s="15" t="s">
        <v>338</v>
      </c>
      <c r="D108" s="6"/>
      <c r="E108" s="6"/>
      <c r="F108" s="6"/>
      <c r="G108" s="6"/>
      <c r="H108" s="94"/>
      <c r="I108" s="94"/>
      <c r="J108" s="94"/>
      <c r="K108" s="94"/>
      <c r="L108" s="94"/>
      <c r="M108" s="94"/>
      <c r="N108" s="94"/>
      <c r="O108" s="94"/>
      <c r="P108" s="94"/>
      <c r="Q108" s="94"/>
      <c r="R108" s="94"/>
      <c r="S108" s="94"/>
      <c r="T108" s="94"/>
      <c r="U108" s="94"/>
      <c r="V108" s="94"/>
      <c r="W108" s="94"/>
      <c r="X108" s="94"/>
      <c r="Y108" s="94"/>
      <c r="Z108" s="94"/>
      <c r="AA108" s="94"/>
      <c r="AB108" s="94"/>
      <c r="AC108" s="95"/>
      <c r="AD108" s="2"/>
      <c r="AE108" s="2"/>
      <c r="AF108" s="2"/>
      <c r="AG108" s="2"/>
      <c r="AH108" s="2"/>
      <c r="AI108" s="2"/>
      <c r="AJ108" s="2"/>
      <c r="AK108" s="2"/>
      <c r="AL108" s="2"/>
      <c r="AM108" s="2"/>
      <c r="AN108" s="2"/>
      <c r="AO108" s="2"/>
      <c r="AP108" s="2"/>
      <c r="AQ108" s="2"/>
    </row>
    <row r="109" spans="1:43" ht="22" customHeight="1" x14ac:dyDescent="0.2">
      <c r="A109" s="1"/>
      <c r="B109" s="27" t="s">
        <v>218</v>
      </c>
      <c r="C109" s="28" t="s">
        <v>339</v>
      </c>
      <c r="D109" s="27" t="s">
        <v>340</v>
      </c>
      <c r="E109" s="33" t="s">
        <v>341</v>
      </c>
      <c r="F109" s="1"/>
      <c r="G109" s="1"/>
      <c r="H109" s="1"/>
      <c r="I109" s="1"/>
      <c r="J109" s="1"/>
      <c r="K109" s="1"/>
      <c r="L109" s="1"/>
      <c r="M109" s="1"/>
      <c r="N109" s="1"/>
      <c r="O109" s="1"/>
      <c r="P109" s="1"/>
      <c r="Q109" s="1"/>
      <c r="R109" s="1"/>
      <c r="S109" s="1"/>
      <c r="T109" s="1"/>
      <c r="U109" s="1"/>
      <c r="V109" s="1"/>
      <c r="W109" s="1"/>
      <c r="X109" s="1"/>
      <c r="Y109" s="1"/>
      <c r="Z109" s="1"/>
      <c r="AA109" s="1"/>
      <c r="AB109" s="1"/>
      <c r="AC109" s="1"/>
      <c r="AD109" s="2"/>
      <c r="AE109" s="2"/>
      <c r="AF109" s="2"/>
      <c r="AG109" s="2"/>
      <c r="AH109" s="2"/>
      <c r="AI109" s="2"/>
      <c r="AJ109" s="2"/>
      <c r="AK109" s="2"/>
      <c r="AL109" s="2"/>
      <c r="AM109" s="2"/>
      <c r="AN109" s="2"/>
      <c r="AO109" s="2"/>
      <c r="AP109" s="2"/>
      <c r="AQ109" s="2"/>
    </row>
    <row r="110" spans="1:43" ht="20" customHeight="1" x14ac:dyDescent="0.2">
      <c r="A110" s="1"/>
      <c r="B110" s="30" t="s">
        <v>219</v>
      </c>
      <c r="C110" s="34">
        <v>7</v>
      </c>
      <c r="D110" s="26">
        <v>0.25</v>
      </c>
      <c r="E110" s="93" t="s">
        <v>342</v>
      </c>
      <c r="F110" s="1"/>
      <c r="G110" s="1"/>
      <c r="H110" s="1"/>
      <c r="I110" s="1"/>
      <c r="J110" s="1"/>
      <c r="K110" s="1"/>
      <c r="L110" s="1"/>
      <c r="M110" s="1"/>
      <c r="N110" s="1"/>
      <c r="O110" s="1"/>
      <c r="P110" s="1"/>
      <c r="Q110" s="1"/>
      <c r="R110" s="1"/>
      <c r="S110" s="1"/>
      <c r="T110" s="1"/>
      <c r="U110" s="1"/>
      <c r="V110" s="1"/>
      <c r="W110" s="1"/>
      <c r="X110" s="1"/>
      <c r="Y110" s="1"/>
      <c r="Z110" s="1"/>
      <c r="AA110" s="1"/>
      <c r="AB110" s="1"/>
      <c r="AC110" s="1"/>
      <c r="AD110" s="2"/>
      <c r="AE110" s="2"/>
      <c r="AF110" s="2"/>
      <c r="AG110" s="2"/>
      <c r="AH110" s="2"/>
      <c r="AI110" s="2"/>
      <c r="AJ110" s="2"/>
      <c r="AK110" s="2"/>
      <c r="AL110" s="2"/>
      <c r="AM110" s="2"/>
      <c r="AN110" s="2"/>
      <c r="AO110" s="2"/>
      <c r="AP110" s="2"/>
      <c r="AQ110" s="2"/>
    </row>
    <row r="111" spans="1:43" ht="20" customHeight="1" x14ac:dyDescent="0.2">
      <c r="A111" s="1"/>
      <c r="B111" s="30" t="s">
        <v>343</v>
      </c>
      <c r="C111" s="34">
        <v>4</v>
      </c>
      <c r="D111" s="26">
        <v>0.28000000000000003</v>
      </c>
      <c r="E111" s="93" t="s">
        <v>344</v>
      </c>
      <c r="F111" s="1"/>
      <c r="G111" s="1"/>
      <c r="H111" s="1"/>
      <c r="I111" s="1"/>
      <c r="J111" s="1"/>
      <c r="K111" s="1"/>
      <c r="L111" s="1"/>
      <c r="M111" s="1"/>
      <c r="N111" s="1"/>
      <c r="O111" s="1"/>
      <c r="P111" s="1"/>
      <c r="Q111" s="1"/>
      <c r="R111" s="1"/>
      <c r="S111" s="1"/>
      <c r="T111" s="1"/>
      <c r="U111" s="1"/>
      <c r="V111" s="1"/>
      <c r="W111" s="1"/>
      <c r="X111" s="1"/>
      <c r="Y111" s="1"/>
      <c r="Z111" s="1"/>
      <c r="AA111" s="1"/>
      <c r="AB111" s="1"/>
      <c r="AC111" s="1"/>
      <c r="AD111" s="2"/>
      <c r="AE111" s="2"/>
      <c r="AF111" s="2"/>
      <c r="AG111" s="2"/>
      <c r="AH111" s="2"/>
      <c r="AI111" s="2"/>
      <c r="AJ111" s="2"/>
      <c r="AK111" s="2"/>
      <c r="AL111" s="2"/>
      <c r="AM111" s="2"/>
      <c r="AN111" s="2"/>
      <c r="AO111" s="2"/>
      <c r="AP111" s="2"/>
      <c r="AQ111" s="2"/>
    </row>
    <row r="112" spans="1:43" ht="20" customHeight="1" x14ac:dyDescent="0.2">
      <c r="A112" s="1"/>
      <c r="B112" s="30" t="s">
        <v>345</v>
      </c>
      <c r="C112" s="34">
        <v>1</v>
      </c>
      <c r="D112" s="26">
        <v>0.25</v>
      </c>
      <c r="E112" s="93" t="s">
        <v>346</v>
      </c>
      <c r="F112" s="1"/>
      <c r="G112" s="1"/>
      <c r="H112" s="1"/>
      <c r="I112" s="1"/>
      <c r="J112" s="1"/>
      <c r="K112" s="1"/>
      <c r="L112" s="1"/>
      <c r="M112" s="1"/>
      <c r="N112" s="1"/>
      <c r="O112" s="1"/>
      <c r="P112" s="1"/>
      <c r="Q112" s="1"/>
      <c r="R112" s="1"/>
      <c r="S112" s="1"/>
      <c r="T112" s="1"/>
      <c r="U112" s="1"/>
      <c r="V112" s="1"/>
      <c r="W112" s="1"/>
      <c r="X112" s="1"/>
      <c r="Y112" s="1"/>
      <c r="Z112" s="1"/>
      <c r="AA112" s="1"/>
      <c r="AB112" s="1"/>
      <c r="AC112" s="1"/>
      <c r="AD112" s="2"/>
      <c r="AE112" s="2"/>
      <c r="AF112" s="2"/>
      <c r="AG112" s="2"/>
      <c r="AH112" s="2"/>
      <c r="AI112" s="2"/>
      <c r="AJ112" s="2"/>
      <c r="AK112" s="2"/>
      <c r="AL112" s="2"/>
      <c r="AM112" s="2"/>
      <c r="AN112" s="2"/>
      <c r="AO112" s="2"/>
      <c r="AP112" s="2"/>
      <c r="AQ112" s="2"/>
    </row>
    <row r="113" spans="1:43" x14ac:dyDescent="0.2">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2"/>
      <c r="AE113" s="2"/>
      <c r="AF113" s="2"/>
      <c r="AG113" s="2"/>
      <c r="AH113" s="2"/>
      <c r="AI113" s="2"/>
      <c r="AJ113" s="2"/>
      <c r="AK113" s="2"/>
      <c r="AL113" s="2"/>
      <c r="AM113" s="2"/>
      <c r="AN113" s="2"/>
      <c r="AO113" s="2"/>
      <c r="AP113" s="2"/>
      <c r="AQ113" s="2"/>
    </row>
    <row r="114" spans="1:43" ht="22" customHeight="1" x14ac:dyDescent="0.2">
      <c r="A114" s="1"/>
      <c r="B114" s="19" t="s">
        <v>347</v>
      </c>
      <c r="C114" s="15" t="s">
        <v>348</v>
      </c>
      <c r="D114" s="6"/>
      <c r="E114" s="6"/>
      <c r="F114" s="6"/>
      <c r="G114" s="6"/>
      <c r="H114" s="94"/>
      <c r="I114" s="94"/>
      <c r="J114" s="94"/>
      <c r="K114" s="94"/>
      <c r="L114" s="94"/>
      <c r="M114" s="94"/>
      <c r="N114" s="94"/>
      <c r="O114" s="94"/>
      <c r="P114" s="94"/>
      <c r="Q114" s="94"/>
      <c r="R114" s="94"/>
      <c r="S114" s="94"/>
      <c r="T114" s="94"/>
      <c r="U114" s="94"/>
      <c r="V114" s="94"/>
      <c r="W114" s="94"/>
      <c r="X114" s="94"/>
      <c r="Y114" s="94"/>
      <c r="Z114" s="94"/>
      <c r="AA114" s="94"/>
      <c r="AB114" s="94"/>
      <c r="AC114" s="95"/>
      <c r="AD114" s="2"/>
      <c r="AE114" s="2"/>
      <c r="AF114" s="2"/>
      <c r="AG114" s="2"/>
      <c r="AH114" s="2"/>
      <c r="AI114" s="2"/>
      <c r="AJ114" s="2"/>
      <c r="AK114" s="2"/>
      <c r="AL114" s="2"/>
      <c r="AM114" s="2"/>
      <c r="AN114" s="2"/>
      <c r="AO114" s="2"/>
      <c r="AP114" s="2"/>
      <c r="AQ114" s="2"/>
    </row>
    <row r="115" spans="1:43" ht="22" customHeight="1" x14ac:dyDescent="0.2">
      <c r="A115" s="1"/>
      <c r="B115" s="27" t="s">
        <v>220</v>
      </c>
      <c r="C115" s="28" t="s">
        <v>349</v>
      </c>
      <c r="D115" s="28" t="s">
        <v>350</v>
      </c>
      <c r="E115" s="28" t="s">
        <v>351</v>
      </c>
      <c r="F115" s="28" t="s">
        <v>352</v>
      </c>
      <c r="G115" s="28" t="s">
        <v>353</v>
      </c>
      <c r="H115" s="27" t="s">
        <v>354</v>
      </c>
      <c r="I115" s="1"/>
      <c r="J115" s="1"/>
      <c r="K115" s="1"/>
      <c r="L115" s="1"/>
      <c r="M115" s="1"/>
      <c r="N115" s="1"/>
      <c r="O115" s="1"/>
      <c r="P115" s="1"/>
      <c r="Q115" s="1"/>
      <c r="R115" s="1"/>
      <c r="S115" s="1"/>
      <c r="T115" s="1"/>
      <c r="U115" s="1"/>
      <c r="V115" s="1"/>
      <c r="W115" s="1"/>
      <c r="X115" s="1"/>
      <c r="Y115" s="1"/>
      <c r="Z115" s="1"/>
      <c r="AA115" s="1"/>
      <c r="AB115" s="1"/>
      <c r="AC115" s="1"/>
      <c r="AD115" s="2"/>
      <c r="AE115" s="2"/>
      <c r="AF115" s="2"/>
      <c r="AG115" s="2"/>
      <c r="AH115" s="2"/>
      <c r="AI115" s="2"/>
      <c r="AJ115" s="2"/>
      <c r="AK115" s="2"/>
      <c r="AL115" s="2"/>
      <c r="AM115" s="2"/>
      <c r="AN115" s="2"/>
      <c r="AO115" s="2"/>
      <c r="AP115" s="2"/>
      <c r="AQ115" s="2"/>
    </row>
    <row r="116" spans="1:43" ht="20" customHeight="1" x14ac:dyDescent="0.2">
      <c r="A116" s="1"/>
      <c r="B116" s="30" t="s">
        <v>221</v>
      </c>
      <c r="C116" s="36">
        <v>50</v>
      </c>
      <c r="D116" s="36">
        <v>30</v>
      </c>
      <c r="E116" s="26">
        <v>0.12</v>
      </c>
      <c r="F116" s="37">
        <v>1.5</v>
      </c>
      <c r="G116" s="26">
        <v>0.18</v>
      </c>
      <c r="H116" s="93" t="s">
        <v>355</v>
      </c>
      <c r="I116" s="1"/>
      <c r="J116" s="1"/>
      <c r="K116" s="1"/>
      <c r="L116" s="1"/>
      <c r="M116" s="1"/>
      <c r="N116" s="1"/>
      <c r="O116" s="1"/>
      <c r="P116" s="1"/>
      <c r="Q116" s="1"/>
      <c r="R116" s="1"/>
      <c r="S116" s="1"/>
      <c r="T116" s="1"/>
      <c r="U116" s="1"/>
      <c r="V116" s="1"/>
      <c r="W116" s="1"/>
      <c r="X116" s="1"/>
      <c r="Y116" s="1"/>
      <c r="Z116" s="1"/>
      <c r="AA116" s="1"/>
      <c r="AB116" s="1"/>
      <c r="AC116" s="1"/>
      <c r="AD116" s="2"/>
      <c r="AE116" s="2"/>
      <c r="AF116" s="2"/>
      <c r="AG116" s="2"/>
      <c r="AH116" s="2"/>
      <c r="AI116" s="2"/>
      <c r="AJ116" s="2"/>
      <c r="AK116" s="2"/>
      <c r="AL116" s="2"/>
      <c r="AM116" s="2"/>
      <c r="AN116" s="2"/>
      <c r="AO116" s="2"/>
      <c r="AP116" s="2"/>
      <c r="AQ116" s="2"/>
    </row>
    <row r="117" spans="1:43" ht="20" customHeight="1" x14ac:dyDescent="0.2">
      <c r="A117" s="1"/>
      <c r="B117" s="30" t="s">
        <v>356</v>
      </c>
      <c r="C117" s="36">
        <v>45</v>
      </c>
      <c r="D117" s="36">
        <v>30</v>
      </c>
      <c r="E117" s="26">
        <v>0.1</v>
      </c>
      <c r="F117" s="37">
        <v>1</v>
      </c>
      <c r="G117" s="26">
        <v>0.22</v>
      </c>
      <c r="H117" s="93" t="s">
        <v>357</v>
      </c>
      <c r="I117" s="1"/>
      <c r="J117" s="1"/>
      <c r="K117" s="1"/>
      <c r="L117" s="1"/>
      <c r="M117" s="1"/>
      <c r="N117" s="1"/>
      <c r="O117" s="1"/>
      <c r="P117" s="1"/>
      <c r="Q117" s="1"/>
      <c r="R117" s="1"/>
      <c r="S117" s="1"/>
      <c r="T117" s="1"/>
      <c r="U117" s="1"/>
      <c r="V117" s="1"/>
      <c r="W117" s="1"/>
      <c r="X117" s="1"/>
      <c r="Y117" s="1"/>
      <c r="Z117" s="1"/>
      <c r="AA117" s="1"/>
      <c r="AB117" s="1"/>
      <c r="AC117" s="1"/>
      <c r="AD117" s="2"/>
      <c r="AE117" s="2"/>
      <c r="AF117" s="2"/>
      <c r="AG117" s="2"/>
      <c r="AH117" s="2"/>
      <c r="AI117" s="2"/>
      <c r="AJ117" s="2"/>
      <c r="AK117" s="2"/>
      <c r="AL117" s="2"/>
      <c r="AM117" s="2"/>
      <c r="AN117" s="2"/>
      <c r="AO117" s="2"/>
      <c r="AP117" s="2"/>
      <c r="AQ117" s="2"/>
    </row>
    <row r="118" spans="1:43" ht="20" customHeight="1" x14ac:dyDescent="0.2">
      <c r="A118" s="1"/>
      <c r="B118" s="30" t="s">
        <v>358</v>
      </c>
      <c r="C118" s="36">
        <v>65</v>
      </c>
      <c r="D118" s="36">
        <v>35</v>
      </c>
      <c r="E118" s="26">
        <v>0.15</v>
      </c>
      <c r="F118" s="37">
        <v>2</v>
      </c>
      <c r="G118" s="26">
        <v>0.15</v>
      </c>
      <c r="H118" s="93" t="s">
        <v>359</v>
      </c>
      <c r="I118" s="1"/>
      <c r="J118" s="1"/>
      <c r="K118" s="1"/>
      <c r="L118" s="1"/>
      <c r="M118" s="1"/>
      <c r="N118" s="1"/>
      <c r="O118" s="1"/>
      <c r="P118" s="1"/>
      <c r="Q118" s="1"/>
      <c r="R118" s="1"/>
      <c r="S118" s="1"/>
      <c r="T118" s="1"/>
      <c r="U118" s="1"/>
      <c r="V118" s="1"/>
      <c r="W118" s="1"/>
      <c r="X118" s="1"/>
      <c r="Y118" s="1"/>
      <c r="Z118" s="1"/>
      <c r="AA118" s="1"/>
      <c r="AB118" s="1"/>
      <c r="AC118" s="1"/>
      <c r="AD118" s="2"/>
      <c r="AE118" s="2"/>
      <c r="AF118" s="2"/>
      <c r="AG118" s="2"/>
      <c r="AH118" s="2"/>
      <c r="AI118" s="2"/>
      <c r="AJ118" s="2"/>
      <c r="AK118" s="2"/>
      <c r="AL118" s="2"/>
      <c r="AM118" s="2"/>
      <c r="AN118" s="2"/>
      <c r="AO118" s="2"/>
      <c r="AP118" s="2"/>
      <c r="AQ118" s="2"/>
    </row>
    <row r="119" spans="1:43" ht="20" customHeight="1" x14ac:dyDescent="0.2">
      <c r="A119" s="1"/>
      <c r="B119" s="30" t="s">
        <v>360</v>
      </c>
      <c r="C119" s="36">
        <v>45</v>
      </c>
      <c r="D119" s="36">
        <v>35</v>
      </c>
      <c r="E119" s="26">
        <v>0.1</v>
      </c>
      <c r="F119" s="37">
        <v>1.5</v>
      </c>
      <c r="G119" s="26">
        <v>0.16</v>
      </c>
      <c r="H119" s="93" t="s">
        <v>361</v>
      </c>
      <c r="I119" s="1"/>
      <c r="J119" s="1"/>
      <c r="K119" s="1"/>
      <c r="L119" s="1"/>
      <c r="M119" s="1"/>
      <c r="N119" s="1"/>
      <c r="O119" s="1"/>
      <c r="P119" s="1"/>
      <c r="Q119" s="1"/>
      <c r="R119" s="1"/>
      <c r="S119" s="1"/>
      <c r="T119" s="1"/>
      <c r="U119" s="1"/>
      <c r="V119" s="1"/>
      <c r="W119" s="1"/>
      <c r="X119" s="1"/>
      <c r="Y119" s="1"/>
      <c r="Z119" s="1"/>
      <c r="AA119" s="1"/>
      <c r="AB119" s="1"/>
      <c r="AC119" s="1"/>
      <c r="AD119" s="2"/>
      <c r="AE119" s="2"/>
      <c r="AF119" s="2"/>
      <c r="AG119" s="2"/>
      <c r="AH119" s="2"/>
      <c r="AI119" s="2"/>
      <c r="AJ119" s="2"/>
      <c r="AK119" s="2"/>
      <c r="AL119" s="2"/>
      <c r="AM119" s="2"/>
      <c r="AN119" s="2"/>
      <c r="AO119" s="2"/>
      <c r="AP119" s="2"/>
      <c r="AQ119" s="2"/>
    </row>
    <row r="120" spans="1:43" ht="20" customHeight="1" x14ac:dyDescent="0.2">
      <c r="A120" s="1"/>
      <c r="B120" s="30" t="s">
        <v>362</v>
      </c>
      <c r="C120" s="36">
        <v>35</v>
      </c>
      <c r="D120" s="36">
        <v>20</v>
      </c>
      <c r="E120" s="26">
        <v>0.18</v>
      </c>
      <c r="F120" s="37">
        <v>1.5</v>
      </c>
      <c r="G120" s="26">
        <v>0.2</v>
      </c>
      <c r="H120" s="93" t="s">
        <v>363</v>
      </c>
      <c r="I120" s="1"/>
      <c r="J120" s="1"/>
      <c r="K120" s="1"/>
      <c r="L120" s="1"/>
      <c r="M120" s="1"/>
      <c r="N120" s="1"/>
      <c r="O120" s="1"/>
      <c r="P120" s="1"/>
      <c r="Q120" s="1"/>
      <c r="R120" s="1"/>
      <c r="S120" s="1"/>
      <c r="T120" s="1"/>
      <c r="U120" s="1"/>
      <c r="V120" s="1"/>
      <c r="W120" s="1"/>
      <c r="X120" s="1"/>
      <c r="Y120" s="1"/>
      <c r="Z120" s="1"/>
      <c r="AA120" s="1"/>
      <c r="AB120" s="1"/>
      <c r="AC120" s="1"/>
      <c r="AD120" s="2"/>
      <c r="AE120" s="2"/>
      <c r="AF120" s="2"/>
      <c r="AG120" s="2"/>
      <c r="AH120" s="2"/>
      <c r="AI120" s="2"/>
      <c r="AJ120" s="2"/>
      <c r="AK120" s="2"/>
      <c r="AL120" s="2"/>
      <c r="AM120" s="2"/>
      <c r="AN120" s="2"/>
      <c r="AO120" s="2"/>
      <c r="AP120" s="2"/>
      <c r="AQ120" s="2"/>
    </row>
    <row r="121" spans="1:43" ht="20" customHeight="1" x14ac:dyDescent="0.2">
      <c r="A121" s="1"/>
      <c r="B121" s="30" t="s">
        <v>364</v>
      </c>
      <c r="C121" s="36">
        <v>40</v>
      </c>
      <c r="D121" s="36">
        <v>40</v>
      </c>
      <c r="E121" s="26">
        <v>0.08</v>
      </c>
      <c r="F121" s="37">
        <v>2.5</v>
      </c>
      <c r="G121" s="26">
        <v>0.12</v>
      </c>
      <c r="H121" s="93" t="s">
        <v>365</v>
      </c>
      <c r="I121" s="1"/>
      <c r="J121" s="1"/>
      <c r="K121" s="1"/>
      <c r="L121" s="1"/>
      <c r="M121" s="1"/>
      <c r="N121" s="1"/>
      <c r="O121" s="1"/>
      <c r="P121" s="1"/>
      <c r="Q121" s="1"/>
      <c r="R121" s="1"/>
      <c r="S121" s="1"/>
      <c r="T121" s="1"/>
      <c r="U121" s="1"/>
      <c r="V121" s="1"/>
      <c r="W121" s="1"/>
      <c r="X121" s="1"/>
      <c r="Y121" s="1"/>
      <c r="Z121" s="1"/>
      <c r="AA121" s="1"/>
      <c r="AB121" s="1"/>
      <c r="AC121" s="1"/>
      <c r="AD121" s="2"/>
      <c r="AE121" s="2"/>
      <c r="AF121" s="2"/>
      <c r="AG121" s="2"/>
      <c r="AH121" s="2"/>
      <c r="AI121" s="2"/>
      <c r="AJ121" s="2"/>
      <c r="AK121" s="2"/>
      <c r="AL121" s="2"/>
      <c r="AM121" s="2"/>
      <c r="AN121" s="2"/>
      <c r="AO121" s="2"/>
      <c r="AP121" s="2"/>
      <c r="AQ121" s="2"/>
    </row>
    <row r="122" spans="1:43" ht="20" customHeight="1" x14ac:dyDescent="0.2">
      <c r="A122" s="1"/>
      <c r="B122" s="30" t="s">
        <v>366</v>
      </c>
      <c r="C122" s="36">
        <v>45</v>
      </c>
      <c r="D122" s="36">
        <v>30</v>
      </c>
      <c r="E122" s="26">
        <v>0.12</v>
      </c>
      <c r="F122" s="37">
        <v>1.5</v>
      </c>
      <c r="G122" s="26">
        <v>0.17</v>
      </c>
      <c r="H122" s="93" t="s">
        <v>367</v>
      </c>
      <c r="I122" s="1"/>
      <c r="J122" s="1"/>
      <c r="K122" s="1"/>
      <c r="L122" s="1"/>
      <c r="M122" s="1"/>
      <c r="N122" s="1"/>
      <c r="O122" s="1"/>
      <c r="P122" s="1"/>
      <c r="Q122" s="1"/>
      <c r="R122" s="1"/>
      <c r="S122" s="1"/>
      <c r="T122" s="1"/>
      <c r="U122" s="1"/>
      <c r="V122" s="1"/>
      <c r="W122" s="1"/>
      <c r="X122" s="1"/>
      <c r="Y122" s="1"/>
      <c r="Z122" s="1"/>
      <c r="AA122" s="1"/>
      <c r="AB122" s="1"/>
      <c r="AC122" s="1"/>
      <c r="AD122" s="2"/>
      <c r="AE122" s="2"/>
      <c r="AF122" s="2"/>
      <c r="AG122" s="2"/>
      <c r="AH122" s="2"/>
      <c r="AI122" s="2"/>
      <c r="AJ122" s="2"/>
      <c r="AK122" s="2"/>
      <c r="AL122" s="2"/>
      <c r="AM122" s="2"/>
      <c r="AN122" s="2"/>
      <c r="AO122" s="2"/>
      <c r="AP122" s="2"/>
      <c r="AQ122" s="2"/>
    </row>
    <row r="123" spans="1:43" x14ac:dyDescent="0.2">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2"/>
      <c r="AE123" s="2"/>
      <c r="AF123" s="2"/>
      <c r="AG123" s="2"/>
      <c r="AH123" s="2"/>
      <c r="AI123" s="2"/>
      <c r="AJ123" s="2"/>
      <c r="AK123" s="2"/>
      <c r="AL123" s="2"/>
      <c r="AM123" s="2"/>
      <c r="AN123" s="2"/>
      <c r="AO123" s="2"/>
      <c r="AP123" s="2"/>
      <c r="AQ123" s="2"/>
    </row>
    <row r="124" spans="1:43" ht="22" customHeight="1" x14ac:dyDescent="0.2">
      <c r="A124" s="1"/>
      <c r="B124" s="19" t="s">
        <v>368</v>
      </c>
      <c r="C124" s="15" t="s">
        <v>369</v>
      </c>
      <c r="D124" s="6"/>
      <c r="E124" s="6"/>
      <c r="F124" s="6"/>
      <c r="G124" s="6"/>
      <c r="H124" s="94"/>
      <c r="I124" s="94"/>
      <c r="J124" s="94"/>
      <c r="K124" s="94"/>
      <c r="L124" s="94"/>
      <c r="M124" s="94"/>
      <c r="N124" s="94"/>
      <c r="O124" s="94"/>
      <c r="P124" s="94"/>
      <c r="Q124" s="94"/>
      <c r="R124" s="94"/>
      <c r="S124" s="94"/>
      <c r="T124" s="94"/>
      <c r="U124" s="94"/>
      <c r="V124" s="94"/>
      <c r="W124" s="94"/>
      <c r="X124" s="94"/>
      <c r="Y124" s="94"/>
      <c r="Z124" s="94"/>
      <c r="AA124" s="94"/>
      <c r="AB124" s="94"/>
      <c r="AC124" s="95"/>
      <c r="AD124" s="2"/>
      <c r="AE124" s="2"/>
      <c r="AF124" s="2"/>
      <c r="AG124" s="2"/>
      <c r="AH124" s="2"/>
      <c r="AI124" s="2"/>
      <c r="AJ124" s="2"/>
      <c r="AK124" s="2"/>
      <c r="AL124" s="2"/>
      <c r="AM124" s="2"/>
      <c r="AN124" s="2"/>
      <c r="AO124" s="2"/>
      <c r="AP124" s="2"/>
      <c r="AQ124" s="2"/>
    </row>
    <row r="125" spans="1:43" ht="22" customHeight="1" x14ac:dyDescent="0.2">
      <c r="A125" s="1"/>
      <c r="B125" s="27" t="s">
        <v>370</v>
      </c>
      <c r="C125" s="28" t="s">
        <v>371</v>
      </c>
      <c r="D125" s="28" t="s">
        <v>372</v>
      </c>
      <c r="E125" s="28" t="s">
        <v>373</v>
      </c>
      <c r="F125" s="38" t="s">
        <v>400</v>
      </c>
      <c r="G125" s="1"/>
      <c r="H125" s="1"/>
      <c r="I125" s="1"/>
      <c r="J125" s="1"/>
      <c r="K125" s="1"/>
      <c r="L125" s="1"/>
      <c r="M125" s="1"/>
      <c r="N125" s="1"/>
      <c r="O125" s="1"/>
      <c r="P125" s="1"/>
      <c r="Q125" s="1"/>
      <c r="R125" s="1"/>
      <c r="S125" s="1"/>
      <c r="T125" s="1"/>
      <c r="U125" s="1"/>
      <c r="V125" s="1"/>
      <c r="W125" s="1"/>
      <c r="X125" s="1"/>
      <c r="Y125" s="1"/>
      <c r="Z125" s="1"/>
      <c r="AA125" s="1"/>
      <c r="AB125" s="1"/>
      <c r="AC125" s="1"/>
      <c r="AD125" s="2"/>
      <c r="AE125" s="2"/>
      <c r="AF125" s="2"/>
      <c r="AG125" s="2"/>
      <c r="AH125" s="2"/>
      <c r="AI125" s="2"/>
      <c r="AJ125" s="2"/>
      <c r="AK125" s="2"/>
      <c r="AL125" s="2"/>
      <c r="AM125" s="2"/>
      <c r="AN125" s="2"/>
      <c r="AO125" s="2"/>
      <c r="AP125" s="2"/>
      <c r="AQ125" s="2"/>
    </row>
    <row r="126" spans="1:43" ht="20" customHeight="1" x14ac:dyDescent="0.2">
      <c r="A126" s="1"/>
      <c r="B126" s="39" t="s">
        <v>2</v>
      </c>
      <c r="C126" s="37">
        <v>1</v>
      </c>
      <c r="D126" s="37">
        <v>1</v>
      </c>
      <c r="E126" s="36">
        <v>0</v>
      </c>
      <c r="F126" s="40">
        <v>0</v>
      </c>
      <c r="G126" s="1"/>
      <c r="H126" s="1"/>
      <c r="I126" s="1"/>
      <c r="J126" s="1"/>
      <c r="K126" s="1"/>
      <c r="L126" s="1"/>
      <c r="M126" s="1"/>
      <c r="N126" s="1"/>
      <c r="O126" s="1"/>
      <c r="P126" s="1"/>
      <c r="Q126" s="1"/>
      <c r="R126" s="1"/>
      <c r="S126" s="1"/>
      <c r="T126" s="1"/>
      <c r="U126" s="1"/>
      <c r="V126" s="1"/>
      <c r="W126" s="1"/>
      <c r="X126" s="1"/>
      <c r="Y126" s="1"/>
      <c r="Z126" s="1"/>
      <c r="AA126" s="1"/>
      <c r="AB126" s="1"/>
      <c r="AC126" s="1"/>
      <c r="AD126" s="2"/>
      <c r="AE126" s="2"/>
      <c r="AF126" s="2"/>
      <c r="AG126" s="2"/>
      <c r="AH126" s="2"/>
      <c r="AI126" s="2"/>
      <c r="AJ126" s="2"/>
      <c r="AK126" s="2"/>
      <c r="AL126" s="2"/>
      <c r="AM126" s="2"/>
      <c r="AN126" s="2"/>
      <c r="AO126" s="2"/>
      <c r="AP126" s="2"/>
      <c r="AQ126" s="2"/>
    </row>
    <row r="127" spans="1:43" ht="20" customHeight="1" x14ac:dyDescent="0.2">
      <c r="A127" s="1"/>
      <c r="B127" s="41" t="s">
        <v>203</v>
      </c>
      <c r="C127" s="37">
        <v>0.85</v>
      </c>
      <c r="D127" s="37">
        <v>1.05</v>
      </c>
      <c r="E127" s="36">
        <v>15</v>
      </c>
      <c r="F127" s="42">
        <v>10</v>
      </c>
      <c r="G127" s="1"/>
      <c r="H127" s="1"/>
      <c r="I127" s="1"/>
      <c r="J127" s="1"/>
      <c r="K127" s="1"/>
      <c r="L127" s="1"/>
      <c r="M127" s="1"/>
      <c r="N127" s="1"/>
      <c r="O127" s="1"/>
      <c r="P127" s="1"/>
      <c r="Q127" s="1"/>
      <c r="R127" s="1"/>
      <c r="S127" s="1"/>
      <c r="T127" s="1"/>
      <c r="U127" s="1"/>
      <c r="V127" s="1"/>
      <c r="W127" s="1"/>
      <c r="X127" s="1"/>
      <c r="Y127" s="1"/>
      <c r="Z127" s="1"/>
      <c r="AA127" s="1"/>
      <c r="AB127" s="1"/>
      <c r="AC127" s="1"/>
      <c r="AD127" s="2"/>
      <c r="AE127" s="2"/>
      <c r="AF127" s="2"/>
      <c r="AG127" s="2"/>
      <c r="AH127" s="2"/>
      <c r="AI127" s="2"/>
      <c r="AJ127" s="2"/>
      <c r="AK127" s="2"/>
      <c r="AL127" s="2"/>
      <c r="AM127" s="2"/>
      <c r="AN127" s="2"/>
      <c r="AO127" s="2"/>
      <c r="AP127" s="2"/>
      <c r="AQ127" s="2"/>
    </row>
    <row r="128" spans="1:43" ht="20" customHeight="1" x14ac:dyDescent="0.2">
      <c r="A128" s="1"/>
      <c r="B128" s="43" t="s">
        <v>204</v>
      </c>
      <c r="C128" s="37">
        <v>1.1000000000000001</v>
      </c>
      <c r="D128" s="37">
        <v>0.98</v>
      </c>
      <c r="E128" s="36">
        <v>-7.5</v>
      </c>
      <c r="F128" s="44">
        <v>-5</v>
      </c>
      <c r="G128" s="1"/>
      <c r="H128" s="1"/>
      <c r="I128" s="1"/>
      <c r="J128" s="1"/>
      <c r="K128" s="1"/>
      <c r="L128" s="1"/>
      <c r="M128" s="1"/>
      <c r="N128" s="1"/>
      <c r="O128" s="1"/>
      <c r="P128" s="1"/>
      <c r="Q128" s="1"/>
      <c r="R128" s="1"/>
      <c r="S128" s="1"/>
      <c r="T128" s="1"/>
      <c r="U128" s="1"/>
      <c r="V128" s="1"/>
      <c r="W128" s="1"/>
      <c r="X128" s="1"/>
      <c r="Y128" s="1"/>
      <c r="Z128" s="1"/>
      <c r="AA128" s="1"/>
      <c r="AB128" s="1"/>
      <c r="AC128" s="1"/>
      <c r="AD128" s="2"/>
      <c r="AE128" s="2"/>
      <c r="AF128" s="2"/>
      <c r="AG128" s="2"/>
      <c r="AH128" s="2"/>
      <c r="AI128" s="2"/>
      <c r="AJ128" s="2"/>
      <c r="AK128" s="2"/>
      <c r="AL128" s="2"/>
      <c r="AM128" s="2"/>
      <c r="AN128" s="2"/>
      <c r="AO128" s="2"/>
      <c r="AP128" s="2"/>
      <c r="AQ128" s="2"/>
    </row>
    <row r="129" spans="1:43" x14ac:dyDescent="0.2">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2"/>
      <c r="AE129" s="2"/>
      <c r="AF129" s="2"/>
      <c r="AG129" s="2"/>
      <c r="AH129" s="2"/>
      <c r="AI129" s="2"/>
      <c r="AJ129" s="2"/>
      <c r="AK129" s="2"/>
      <c r="AL129" s="2"/>
      <c r="AM129" s="2"/>
      <c r="AN129" s="2"/>
      <c r="AO129" s="2"/>
      <c r="AP129" s="2"/>
      <c r="AQ129" s="2"/>
    </row>
    <row r="130" spans="1:43" x14ac:dyDescent="0.2">
      <c r="A130" s="1"/>
      <c r="B130" s="4" t="s">
        <v>105</v>
      </c>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3" t="s">
        <v>106</v>
      </c>
      <c r="AD130" s="2"/>
      <c r="AE130" s="2"/>
      <c r="AF130" s="2"/>
      <c r="AG130" s="2"/>
      <c r="AH130" s="2"/>
      <c r="AI130" s="2"/>
      <c r="AJ130" s="2"/>
      <c r="AK130" s="2"/>
      <c r="AL130" s="2"/>
      <c r="AM130" s="2"/>
      <c r="AN130" s="2"/>
      <c r="AO130" s="2"/>
      <c r="AP130" s="2"/>
      <c r="AQ130" s="2"/>
    </row>
    <row r="131" spans="1:43" x14ac:dyDescent="0.2">
      <c r="A131" s="1"/>
      <c r="B131" s="4"/>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3"/>
      <c r="AD131" s="2"/>
      <c r="AE131" s="2"/>
      <c r="AF131" s="2"/>
      <c r="AG131" s="2"/>
      <c r="AH131" s="2"/>
      <c r="AI131" s="2"/>
      <c r="AJ131" s="2"/>
      <c r="AK131" s="2"/>
      <c r="AL131" s="2"/>
      <c r="AM131" s="2"/>
      <c r="AN131" s="2"/>
      <c r="AO131" s="2"/>
      <c r="AP131" s="2"/>
      <c r="AQ131" s="2"/>
    </row>
  </sheetData>
  <mergeCells count="3">
    <mergeCell ref="C2:Q2"/>
    <mergeCell ref="B3:R3"/>
    <mergeCell ref="B4:R4"/>
  </mergeCells>
  <dataValidations count="1">
    <dataValidation type="list" allowBlank="1" showInputMessage="1" showErrorMessage="1" sqref="C11" xr:uid="{C24884A0-9585-424D-826F-6FDCF94645CF}">
      <formula1>"Jan,Feb,Mar,Apr,May,Jun,Jul,Aug,Sep,Oct,Nov,Dec"</formula1>
    </dataValidation>
  </dataValidations>
  <printOptions horizontalCentered="1"/>
  <pageMargins left="0.4" right="0.4" top="0.5" bottom="0.5" header="0.3" footer="0.3"/>
  <pageSetup fitToHeight="0" orientation="portrait"/>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896B3"/>
  </sheetPr>
  <dimension ref="A1:DI444"/>
  <sheetViews>
    <sheetView showGridLines="0" workbookViewId="0">
      <pane xSplit="2" ySplit="13" topLeftCell="C14" activePane="bottomRight" state="frozen"/>
      <selection pane="topRight"/>
      <selection pane="bottomLeft"/>
      <selection pane="bottomRight" activeCell="B166" sqref="B166:I166"/>
    </sheetView>
  </sheetViews>
  <sheetFormatPr baseColWidth="10" defaultColWidth="8.83203125" defaultRowHeight="15" outlineLevelCol="1" x14ac:dyDescent="0.2"/>
  <cols>
    <col min="1" max="1" width="1.5" style="5" customWidth="1"/>
    <col min="2" max="2" width="38" style="5" customWidth="1"/>
    <col min="3" max="26" width="12" style="5" customWidth="1"/>
    <col min="27" max="27" width="2" style="5" customWidth="1"/>
    <col min="28" max="29" width="14" style="5" customWidth="1"/>
    <col min="30" max="30" width="8.83203125" style="5"/>
    <col min="31" max="112" width="12" style="5" hidden="1" customWidth="1" outlineLevel="1"/>
    <col min="113" max="113" width="8.83203125" style="5" collapsed="1"/>
    <col min="114" max="16384" width="8.83203125" style="5"/>
  </cols>
  <sheetData>
    <row r="1" spans="1:112" ht="8" customHeight="1" x14ac:dyDescent="0.2">
      <c r="A1" s="1"/>
      <c r="B1" s="1"/>
      <c r="C1" s="1"/>
      <c r="D1" s="1"/>
      <c r="E1" s="1"/>
      <c r="F1" s="1"/>
      <c r="G1" s="1"/>
      <c r="H1" s="1"/>
      <c r="I1" s="1"/>
      <c r="J1" s="1"/>
      <c r="K1" s="1"/>
      <c r="L1" s="1"/>
      <c r="M1" s="1"/>
      <c r="N1" s="1"/>
      <c r="O1" s="1"/>
      <c r="P1" s="1"/>
      <c r="Q1" s="1"/>
      <c r="R1" s="1"/>
      <c r="S1" s="1"/>
      <c r="T1" s="1"/>
      <c r="U1" s="1"/>
      <c r="V1" s="6"/>
      <c r="W1" s="6"/>
      <c r="X1" s="6"/>
      <c r="Y1" s="6"/>
      <c r="Z1" s="6"/>
      <c r="AA1" s="1"/>
      <c r="AB1" s="1"/>
      <c r="AC1" s="1"/>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c r="DH1"/>
    </row>
    <row r="2" spans="1:112" ht="22" customHeight="1" x14ac:dyDescent="0.2">
      <c r="A2" s="1"/>
      <c r="B2" s="1"/>
      <c r="C2" s="109" t="s">
        <v>374</v>
      </c>
      <c r="D2" s="104"/>
      <c r="E2" s="104"/>
      <c r="F2" s="104"/>
      <c r="G2" s="104"/>
      <c r="H2" s="104"/>
      <c r="I2" s="104"/>
      <c r="J2" s="104"/>
      <c r="K2" s="104"/>
      <c r="L2" s="104"/>
      <c r="M2" s="104"/>
      <c r="N2" s="104"/>
      <c r="O2" s="104"/>
      <c r="P2" s="104"/>
      <c r="Q2" s="104"/>
      <c r="R2" s="1"/>
      <c r="S2" s="1"/>
      <c r="T2" s="1"/>
      <c r="U2" s="1"/>
      <c r="V2" s="6"/>
      <c r="W2" s="6"/>
      <c r="X2" s="6"/>
      <c r="Y2" s="6"/>
      <c r="Z2" s="6"/>
      <c r="AA2" s="1" cm="1">
        <f t="array" ref="AA2">IFERROR(MATCH(smp_fy_start_text,{"Jan";"Feb";"Mar";"Apr";"May";"Jun";"Jul";"Aug";"Sep";"Oct";"Nov";"Dec"},0),7)</f>
        <v>7</v>
      </c>
      <c r="AB2" s="1"/>
      <c r="AC2" s="1"/>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c r="DH2"/>
    </row>
    <row r="3" spans="1:112" ht="22" customHeight="1" x14ac:dyDescent="0.2">
      <c r="A3" s="1"/>
      <c r="B3" s="110" t="s">
        <v>444</v>
      </c>
      <c r="C3" s="104"/>
      <c r="D3" s="104"/>
      <c r="E3" s="104"/>
      <c r="F3" s="104"/>
      <c r="G3" s="104"/>
      <c r="H3" s="104"/>
      <c r="I3" s="104"/>
      <c r="J3" s="104"/>
      <c r="K3" s="104"/>
      <c r="L3" s="104"/>
      <c r="M3" s="104"/>
      <c r="N3" s="104"/>
      <c r="O3" s="104"/>
      <c r="P3" s="104"/>
      <c r="Q3" s="104"/>
      <c r="R3" s="104"/>
      <c r="S3" s="1"/>
      <c r="T3" s="1"/>
      <c r="U3" s="1"/>
      <c r="V3" s="55" t="s">
        <v>1</v>
      </c>
      <c r="W3" s="118" t="s">
        <v>204</v>
      </c>
      <c r="X3" s="119"/>
      <c r="Y3" s="120"/>
      <c r="Z3" s="6"/>
      <c r="AA3" s="1"/>
      <c r="AB3" s="1"/>
      <c r="AC3" s="1"/>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c r="DH3"/>
    </row>
    <row r="4" spans="1:112" ht="22" customHeight="1" x14ac:dyDescent="0.2">
      <c r="A4" s="1"/>
      <c r="B4" s="110" t="s">
        <v>375</v>
      </c>
      <c r="C4" s="104"/>
      <c r="D4" s="104"/>
      <c r="E4" s="104"/>
      <c r="F4" s="104"/>
      <c r="G4" s="104"/>
      <c r="H4" s="104"/>
      <c r="I4" s="104"/>
      <c r="J4" s="104"/>
      <c r="K4" s="104"/>
      <c r="L4" s="104"/>
      <c r="M4" s="104"/>
      <c r="N4" s="104"/>
      <c r="O4" s="104"/>
      <c r="P4" s="104"/>
      <c r="Q4" s="104"/>
      <c r="R4" s="104"/>
      <c r="S4" s="1"/>
      <c r="T4" s="1"/>
      <c r="U4" s="1"/>
      <c r="V4" s="55" t="s">
        <v>3</v>
      </c>
      <c r="W4" s="118" t="s">
        <v>4</v>
      </c>
      <c r="X4" s="119"/>
      <c r="Y4" s="120"/>
      <c r="Z4" s="6"/>
      <c r="AA4" s="1"/>
      <c r="AB4" s="1"/>
      <c r="AC4" s="1"/>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c r="DH4"/>
    </row>
    <row r="5" spans="1:112" ht="22" customHeight="1" x14ac:dyDescent="0.2">
      <c r="A5" s="1"/>
      <c r="B5" s="1"/>
      <c r="C5" s="1"/>
      <c r="D5" s="1"/>
      <c r="E5" s="1"/>
      <c r="F5" s="1"/>
      <c r="G5" s="1"/>
      <c r="H5" s="1"/>
      <c r="I5" s="1"/>
      <c r="J5" s="1"/>
      <c r="K5" s="1"/>
      <c r="L5" s="1"/>
      <c r="M5" s="1"/>
      <c r="N5" s="1"/>
      <c r="O5" s="1"/>
      <c r="P5" s="1"/>
      <c r="Q5" s="1"/>
      <c r="R5" s="1"/>
      <c r="S5" s="1"/>
      <c r="T5" s="1"/>
      <c r="U5" s="1"/>
      <c r="V5" s="55" t="s">
        <v>5</v>
      </c>
      <c r="W5" s="118" t="s">
        <v>376</v>
      </c>
      <c r="X5" s="119"/>
      <c r="Y5" s="120"/>
      <c r="Z5" s="6"/>
      <c r="AA5" s="1"/>
      <c r="AB5" s="1"/>
      <c r="AC5" s="1"/>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c r="DH5"/>
    </row>
    <row r="6" spans="1:112" ht="22" customHeight="1" x14ac:dyDescent="0.2">
      <c r="A6" s="1"/>
      <c r="B6" s="1"/>
      <c r="C6" s="1"/>
      <c r="D6" s="1"/>
      <c r="E6" s="1"/>
      <c r="F6" s="1"/>
      <c r="G6" s="1"/>
      <c r="H6" s="1"/>
      <c r="I6" s="1"/>
      <c r="J6" s="1"/>
      <c r="K6" s="1"/>
      <c r="L6" s="1"/>
      <c r="M6" s="1"/>
      <c r="N6" s="1"/>
      <c r="O6" s="1"/>
      <c r="P6" s="1"/>
      <c r="Q6" s="1"/>
      <c r="R6" s="1"/>
      <c r="S6" s="1"/>
      <c r="T6" s="1"/>
      <c r="U6" s="1"/>
      <c r="V6" s="6"/>
      <c r="W6" s="6"/>
      <c r="X6" s="6"/>
      <c r="Y6" s="6"/>
      <c r="Z6" s="6"/>
      <c r="AA6" s="1"/>
      <c r="AB6" s="1"/>
      <c r="AC6" s="1"/>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c r="DH6"/>
    </row>
    <row r="7" spans="1:112" ht="18" customHeight="1" x14ac:dyDescent="0.2">
      <c r="A7" s="1"/>
      <c r="B7" s="1"/>
      <c r="C7" s="117" t="s">
        <v>11</v>
      </c>
      <c r="D7" s="114"/>
      <c r="E7" s="114"/>
      <c r="F7" s="114"/>
      <c r="G7" s="114"/>
      <c r="H7" s="114"/>
      <c r="I7" s="117" t="s">
        <v>12</v>
      </c>
      <c r="J7" s="114"/>
      <c r="K7" s="114"/>
      <c r="L7" s="114"/>
      <c r="M7" s="114"/>
      <c r="N7" s="114"/>
      <c r="O7" s="117" t="s">
        <v>13</v>
      </c>
      <c r="P7" s="114"/>
      <c r="Q7" s="114"/>
      <c r="R7" s="114"/>
      <c r="S7" s="114"/>
      <c r="T7" s="114"/>
      <c r="U7" s="117" t="s">
        <v>14</v>
      </c>
      <c r="V7" s="114"/>
      <c r="W7" s="114"/>
      <c r="X7" s="114"/>
      <c r="Y7" s="114"/>
      <c r="Z7" s="114"/>
      <c r="AA7" s="1"/>
      <c r="AB7" s="1"/>
      <c r="AC7" s="1"/>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c r="DH7"/>
    </row>
    <row r="8" spans="1:112" ht="36" customHeight="1" x14ac:dyDescent="0.2">
      <c r="A8" s="1"/>
      <c r="B8" s="1"/>
      <c r="C8" s="113">
        <f>CHOOSE(smp_act_scn_idx,BC190,CD190,DE190)</f>
        <v>5478000</v>
      </c>
      <c r="D8" s="114"/>
      <c r="E8" s="114"/>
      <c r="F8" s="114"/>
      <c r="G8" s="114"/>
      <c r="H8" s="114"/>
      <c r="I8" s="113">
        <f>CHOOSE(smp_act_scn_idx,BC211,CD211,DE211)</f>
        <v>1100861.3600000003</v>
      </c>
      <c r="J8" s="114"/>
      <c r="K8" s="114"/>
      <c r="L8" s="114"/>
      <c r="M8" s="114"/>
      <c r="N8" s="114"/>
      <c r="O8" s="128">
        <f>CHOOSE(smp_act_scn_idx,BC212,CD212,DE212)</f>
        <v>0.20096045271997084</v>
      </c>
      <c r="P8" s="114"/>
      <c r="Q8" s="114"/>
      <c r="R8" s="114"/>
      <c r="S8" s="114"/>
      <c r="T8" s="114"/>
      <c r="U8" s="113">
        <f>CHOOSE(smp_act_scn_idx,BC219,CD219,DE219)</f>
        <v>782442.77812500019</v>
      </c>
      <c r="V8" s="114"/>
      <c r="W8" s="114"/>
      <c r="X8" s="114"/>
      <c r="Y8" s="114"/>
      <c r="Z8" s="114"/>
      <c r="AA8" s="1"/>
      <c r="AB8" s="1"/>
      <c r="AC8" s="1"/>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c r="DH8"/>
    </row>
    <row r="9" spans="1:112" ht="18" customHeight="1" x14ac:dyDescent="0.2">
      <c r="A9" s="1"/>
      <c r="B9" s="1"/>
      <c r="C9" s="116" t="s">
        <v>15</v>
      </c>
      <c r="D9" s="114"/>
      <c r="E9" s="114"/>
      <c r="F9" s="114"/>
      <c r="G9" s="114"/>
      <c r="H9" s="114"/>
      <c r="I9" s="116" t="s">
        <v>16</v>
      </c>
      <c r="J9" s="114"/>
      <c r="K9" s="114"/>
      <c r="L9" s="114"/>
      <c r="M9" s="114"/>
      <c r="N9" s="114"/>
      <c r="O9" s="116" t="s">
        <v>17</v>
      </c>
      <c r="P9" s="114"/>
      <c r="Q9" s="114"/>
      <c r="R9" s="114"/>
      <c r="S9" s="114"/>
      <c r="T9" s="114"/>
      <c r="U9" s="116" t="s">
        <v>18</v>
      </c>
      <c r="V9" s="114"/>
      <c r="W9" s="114"/>
      <c r="X9" s="114"/>
      <c r="Y9" s="114"/>
      <c r="Z9" s="114"/>
      <c r="AA9" s="1"/>
      <c r="AB9" s="1"/>
      <c r="AC9" s="1"/>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c r="DH9"/>
    </row>
    <row r="10" spans="1:112" ht="18" customHeight="1" x14ac:dyDescent="0.2">
      <c r="A10" s="1"/>
      <c r="B10" s="1"/>
      <c r="C10" s="117" t="s">
        <v>19</v>
      </c>
      <c r="D10" s="114"/>
      <c r="E10" s="114"/>
      <c r="F10" s="114"/>
      <c r="G10" s="114"/>
      <c r="H10" s="114"/>
      <c r="I10" s="117" t="s">
        <v>20</v>
      </c>
      <c r="J10" s="114"/>
      <c r="K10" s="114"/>
      <c r="L10" s="114"/>
      <c r="M10" s="114"/>
      <c r="N10" s="114"/>
      <c r="O10" s="117" t="s">
        <v>21</v>
      </c>
      <c r="P10" s="114"/>
      <c r="Q10" s="114"/>
      <c r="R10" s="114"/>
      <c r="S10" s="114"/>
      <c r="T10" s="114"/>
      <c r="U10" s="117" t="s">
        <v>22</v>
      </c>
      <c r="V10" s="114"/>
      <c r="W10" s="114"/>
      <c r="X10" s="114"/>
      <c r="Y10" s="114"/>
      <c r="Z10" s="114"/>
      <c r="AA10" s="1"/>
      <c r="AB10" s="1"/>
      <c r="AC10" s="1"/>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c r="DH10"/>
    </row>
    <row r="11" spans="1:112" ht="36" customHeight="1" x14ac:dyDescent="0.2">
      <c r="A11" s="1"/>
      <c r="B11" s="1"/>
      <c r="C11" s="113">
        <f>CHOOSE(smp_act_scn_idx,INDEX(AE248:BB248,smp_act_horizon_n),INDEX(BF248:CC248,smp_act_horizon_n),INDEX(CG248:DD248,smp_act_horizon_n))</f>
        <v>2099240.2184375003</v>
      </c>
      <c r="D11" s="114"/>
      <c r="E11" s="114"/>
      <c r="F11" s="114"/>
      <c r="G11" s="114"/>
      <c r="H11" s="114"/>
      <c r="I11" s="113">
        <f>CHOOSE(smp_act_scn_idx,INDEX(AE261:BB261,smp_act_horizon_n),INDEX(BF261:CC261,smp_act_horizon_n),INDEX(CG261:DD261,smp_act_horizon_n))</f>
        <v>100008</v>
      </c>
      <c r="J11" s="114"/>
      <c r="K11" s="114"/>
      <c r="L11" s="114"/>
      <c r="M11" s="114"/>
      <c r="N11" s="114"/>
      <c r="O11" s="113">
        <f>CHOOSE(smp_act_scn_idx,INDEX(AE269:BB269,smp_act_horizon_n),INDEX(BF269:CC269,smp_act_horizon_n),INDEX(CG269:DD269,smp_act_horizon_n))</f>
        <v>2658387.3062499999</v>
      </c>
      <c r="P11" s="114"/>
      <c r="Q11" s="114"/>
      <c r="R11" s="114"/>
      <c r="S11" s="114"/>
      <c r="T11" s="114"/>
      <c r="U11" s="129">
        <f>CHOOSE(smp_act_scn_idx,MAX(AE250:AP250)-MIN(AE257:AP257),MAX(BF250:BQ250)-MIN(BF257:BQ257),MAX(CG250:CR250)-MIN(CG257:CR257))</f>
        <v>609280.16333333345</v>
      </c>
      <c r="V11" s="114"/>
      <c r="W11" s="114"/>
      <c r="X11" s="114"/>
      <c r="Y11" s="114"/>
      <c r="Z11" s="114"/>
      <c r="AA11" s="1"/>
      <c r="AB11" s="1"/>
      <c r="AC11" s="1"/>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c r="DH11"/>
    </row>
    <row r="12" spans="1:112" ht="18" customHeight="1" x14ac:dyDescent="0.2">
      <c r="A12" s="1"/>
      <c r="B12" s="1"/>
      <c r="C12" s="116" t="s">
        <v>23</v>
      </c>
      <c r="D12" s="114"/>
      <c r="E12" s="114"/>
      <c r="F12" s="114"/>
      <c r="G12" s="114"/>
      <c r="H12" s="114"/>
      <c r="I12" s="116" t="s">
        <v>24</v>
      </c>
      <c r="J12" s="114"/>
      <c r="K12" s="114"/>
      <c r="L12" s="114"/>
      <c r="M12" s="114"/>
      <c r="N12" s="114"/>
      <c r="O12" s="116" t="s">
        <v>25</v>
      </c>
      <c r="P12" s="114"/>
      <c r="Q12" s="114"/>
      <c r="R12" s="114"/>
      <c r="S12" s="114"/>
      <c r="T12" s="114"/>
      <c r="U12" s="116" t="s">
        <v>26</v>
      </c>
      <c r="V12" s="114"/>
      <c r="W12" s="114"/>
      <c r="X12" s="114"/>
      <c r="Y12" s="114"/>
      <c r="Z12" s="114"/>
      <c r="AA12" s="1"/>
      <c r="AB12" s="1"/>
      <c r="AC12" s="1"/>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c r="DH12"/>
    </row>
    <row r="13" spans="1:112" ht="6" customHeight="1" x14ac:dyDescent="0.2">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c r="DH13"/>
    </row>
    <row r="14" spans="1:112" x14ac:dyDescent="0.2">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c r="DH14"/>
    </row>
    <row r="15" spans="1:112" ht="17" x14ac:dyDescent="0.2">
      <c r="A15" s="1"/>
      <c r="B15" s="136" t="s">
        <v>27</v>
      </c>
      <c r="C15" s="114"/>
      <c r="D15" s="114"/>
      <c r="E15" s="114"/>
      <c r="F15" s="114"/>
      <c r="G15" s="114"/>
      <c r="H15" s="114"/>
      <c r="I15" s="114"/>
      <c r="J15" s="114"/>
      <c r="K15" s="114"/>
      <c r="L15" s="114"/>
      <c r="M15" s="114"/>
      <c r="N15" s="114"/>
      <c r="O15" s="114"/>
      <c r="P15" s="114"/>
      <c r="Q15" s="114"/>
      <c r="R15" s="114"/>
      <c r="S15" s="114"/>
      <c r="T15" s="114"/>
      <c r="U15" s="114"/>
      <c r="V15" s="114"/>
      <c r="W15" s="114"/>
      <c r="X15" s="114"/>
      <c r="Y15" s="114"/>
      <c r="Z15" s="114"/>
      <c r="AA15" s="114"/>
      <c r="AB15" s="114"/>
      <c r="AC15" s="114"/>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c r="DH15"/>
    </row>
    <row r="16" spans="1:112" x14ac:dyDescent="0.2">
      <c r="A16" s="1"/>
      <c r="B16" s="56" t="s">
        <v>28</v>
      </c>
      <c r="C16" s="1"/>
      <c r="D16" s="1"/>
      <c r="E16" s="1"/>
      <c r="F16" s="1"/>
      <c r="G16" s="1"/>
      <c r="H16" s="1"/>
      <c r="I16" s="1"/>
      <c r="J16" s="56" t="s">
        <v>29</v>
      </c>
      <c r="K16" s="1"/>
      <c r="L16" s="1"/>
      <c r="M16" s="1"/>
      <c r="N16" s="1"/>
      <c r="O16" s="1"/>
      <c r="P16" s="1"/>
      <c r="Q16" s="1"/>
      <c r="R16" s="1"/>
      <c r="S16" s="1"/>
      <c r="T16" s="56" t="s">
        <v>30</v>
      </c>
      <c r="U16" s="1"/>
      <c r="V16" s="1"/>
      <c r="W16" s="1"/>
      <c r="X16" s="1"/>
      <c r="Y16" s="1"/>
      <c r="Z16" s="1"/>
      <c r="AA16" s="1"/>
      <c r="AB16" s="1"/>
      <c r="AC16" s="1"/>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c r="DH16"/>
    </row>
    <row r="17" spans="1:112" x14ac:dyDescent="0.2">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c r="DH17"/>
    </row>
    <row r="18" spans="1:112" x14ac:dyDescent="0.2">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c r="DH18"/>
    </row>
    <row r="19" spans="1:112" x14ac:dyDescent="0.2">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c r="DH19"/>
    </row>
    <row r="20" spans="1:112" x14ac:dyDescent="0.2">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c r="DH20"/>
    </row>
    <row r="21" spans="1:112" x14ac:dyDescent="0.2">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c r="DH21"/>
    </row>
    <row r="22" spans="1:112" x14ac:dyDescent="0.2">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c r="DH22"/>
    </row>
    <row r="23" spans="1:112" x14ac:dyDescent="0.2">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c r="DH23"/>
    </row>
    <row r="24" spans="1:112" x14ac:dyDescent="0.2">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c r="DH24"/>
    </row>
    <row r="25" spans="1:112" x14ac:dyDescent="0.2">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c r="DH25"/>
    </row>
    <row r="26" spans="1:112" x14ac:dyDescent="0.2">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c r="DH26"/>
    </row>
    <row r="27" spans="1:112" x14ac:dyDescent="0.2">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c r="DH27"/>
    </row>
    <row r="28" spans="1:112" x14ac:dyDescent="0.2">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c r="DH28"/>
    </row>
    <row r="29" spans="1:112" x14ac:dyDescent="0.2">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c r="DH29"/>
    </row>
    <row r="30" spans="1:112" x14ac:dyDescent="0.2">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c r="DH30"/>
    </row>
    <row r="31" spans="1:112" x14ac:dyDescent="0.2">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c r="DH31"/>
    </row>
    <row r="32" spans="1:112" x14ac:dyDescent="0.2">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c r="DH32"/>
    </row>
    <row r="33" spans="1:112" x14ac:dyDescent="0.2">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c r="DH33"/>
    </row>
    <row r="34" spans="1:112" x14ac:dyDescent="0.2">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c r="DH34"/>
    </row>
    <row r="35" spans="1:112" x14ac:dyDescent="0.2">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c r="DH35"/>
    </row>
    <row r="36" spans="1:112" x14ac:dyDescent="0.2">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c r="DH36"/>
    </row>
    <row r="37" spans="1:112" x14ac:dyDescent="0.2">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c r="DH37"/>
    </row>
    <row r="38" spans="1:112" x14ac:dyDescent="0.2">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c r="DH38"/>
    </row>
    <row r="39" spans="1:112" x14ac:dyDescent="0.2">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c r="DH39"/>
    </row>
    <row r="40" spans="1:112" ht="22" customHeight="1" x14ac:dyDescent="0.2">
      <c r="A40" s="1"/>
      <c r="B40" s="57" t="s">
        <v>31</v>
      </c>
      <c r="C40" s="20"/>
      <c r="D40" s="20"/>
      <c r="E40" s="20"/>
      <c r="F40" s="20"/>
      <c r="G40" s="20"/>
      <c r="H40" s="20"/>
      <c r="I40" s="20"/>
      <c r="J40" s="20"/>
      <c r="K40" s="20"/>
      <c r="L40" s="20"/>
      <c r="M40" s="20"/>
      <c r="N40" s="20"/>
      <c r="O40" s="20"/>
      <c r="P40" s="20"/>
      <c r="Q40" s="20"/>
      <c r="R40" s="20"/>
      <c r="S40" s="20"/>
      <c r="T40" s="20"/>
      <c r="U40" s="20"/>
      <c r="V40" s="20"/>
      <c r="W40" s="20"/>
      <c r="X40" s="20"/>
      <c r="Y40" s="20"/>
      <c r="Z40" s="20"/>
      <c r="AA40" s="20"/>
      <c r="AB40" s="20"/>
      <c r="AC40" s="21" t="s">
        <v>32</v>
      </c>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c r="DH40"/>
    </row>
    <row r="41" spans="1:112" ht="22" customHeight="1" x14ac:dyDescent="0.2">
      <c r="A41" s="1"/>
      <c r="B41" s="27" t="s">
        <v>33</v>
      </c>
      <c r="C41" s="132" t="s">
        <v>34</v>
      </c>
      <c r="D41" s="112"/>
      <c r="E41" s="112"/>
      <c r="F41" s="112"/>
      <c r="G41" s="112"/>
      <c r="H41" s="112"/>
      <c r="I41" s="112"/>
      <c r="J41" s="112"/>
      <c r="K41" s="131" t="s">
        <v>35</v>
      </c>
      <c r="L41" s="112"/>
      <c r="M41" s="112"/>
      <c r="N41" s="112"/>
      <c r="O41" s="112"/>
      <c r="P41" s="112"/>
      <c r="Q41" s="112"/>
      <c r="R41" s="111" t="s">
        <v>36</v>
      </c>
      <c r="S41" s="112"/>
      <c r="T41" s="112"/>
      <c r="U41" s="112"/>
      <c r="V41" s="112"/>
      <c r="W41" s="112"/>
      <c r="X41" s="112"/>
      <c r="Y41" s="112"/>
      <c r="Z41" s="112"/>
      <c r="AA41" s="1"/>
      <c r="AB41" s="1"/>
      <c r="AC41" s="1"/>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c r="DH41"/>
    </row>
    <row r="42" spans="1:112" ht="22" customHeight="1" x14ac:dyDescent="0.2">
      <c r="A42" s="1"/>
      <c r="B42" s="30" t="s">
        <v>37</v>
      </c>
      <c r="C42" s="126">
        <f>BC190</f>
        <v>4980000</v>
      </c>
      <c r="D42" s="104"/>
      <c r="E42" s="104"/>
      <c r="F42" s="104"/>
      <c r="G42" s="104"/>
      <c r="H42" s="104"/>
      <c r="I42" s="104"/>
      <c r="J42" s="104"/>
      <c r="K42" s="126">
        <f>CD190</f>
        <v>4233000</v>
      </c>
      <c r="L42" s="104"/>
      <c r="M42" s="104"/>
      <c r="N42" s="104"/>
      <c r="O42" s="104"/>
      <c r="P42" s="104"/>
      <c r="Q42" s="104"/>
      <c r="R42" s="126">
        <f>DE190</f>
        <v>5478000</v>
      </c>
      <c r="S42" s="104"/>
      <c r="T42" s="104"/>
      <c r="U42" s="104"/>
      <c r="V42" s="104"/>
      <c r="W42" s="104"/>
      <c r="X42" s="104"/>
      <c r="Y42" s="104"/>
      <c r="Z42" s="104"/>
      <c r="AA42" s="1"/>
      <c r="AB42" s="1"/>
      <c r="AC42" s="1"/>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c r="DH42"/>
    </row>
    <row r="43" spans="1:112" ht="22" customHeight="1" x14ac:dyDescent="0.2">
      <c r="A43" s="1"/>
      <c r="B43" s="30" t="s">
        <v>12</v>
      </c>
      <c r="C43" s="126">
        <f>BC211</f>
        <v>729120.00000000023</v>
      </c>
      <c r="D43" s="104"/>
      <c r="E43" s="104"/>
      <c r="F43" s="104"/>
      <c r="G43" s="104"/>
      <c r="H43" s="104"/>
      <c r="I43" s="104"/>
      <c r="J43" s="104"/>
      <c r="K43" s="126">
        <f>CD211</f>
        <v>109127.1</v>
      </c>
      <c r="L43" s="104"/>
      <c r="M43" s="104"/>
      <c r="N43" s="104"/>
      <c r="O43" s="104"/>
      <c r="P43" s="104"/>
      <c r="Q43" s="104"/>
      <c r="R43" s="126">
        <f>DE211</f>
        <v>1100861.3600000003</v>
      </c>
      <c r="S43" s="104"/>
      <c r="T43" s="104"/>
      <c r="U43" s="104"/>
      <c r="V43" s="104"/>
      <c r="W43" s="104"/>
      <c r="X43" s="104"/>
      <c r="Y43" s="104"/>
      <c r="Z43" s="104"/>
      <c r="AA43" s="1"/>
      <c r="AB43" s="1"/>
      <c r="AC43" s="1"/>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c r="DH43"/>
    </row>
    <row r="44" spans="1:112" ht="22" customHeight="1" x14ac:dyDescent="0.2">
      <c r="A44" s="1"/>
      <c r="B44" s="22" t="s">
        <v>38</v>
      </c>
      <c r="C44" s="126">
        <f>INDEX(AE248:BB248,smp_act_horizon_n)</f>
        <v>1414839.2413541672</v>
      </c>
      <c r="D44" s="104"/>
      <c r="E44" s="104"/>
      <c r="F44" s="104"/>
      <c r="G44" s="104"/>
      <c r="H44" s="104"/>
      <c r="I44" s="104"/>
      <c r="J44" s="104"/>
      <c r="K44" s="126">
        <f>INDEX(BF248:CC248,smp_act_horizon_n)</f>
        <v>280808.59859375004</v>
      </c>
      <c r="L44" s="104"/>
      <c r="M44" s="104"/>
      <c r="N44" s="104"/>
      <c r="O44" s="104"/>
      <c r="P44" s="104"/>
      <c r="Q44" s="104"/>
      <c r="R44" s="126">
        <f>INDEX(CG248:DD248,smp_act_horizon_n)</f>
        <v>2099240.2184375003</v>
      </c>
      <c r="S44" s="104"/>
      <c r="T44" s="104"/>
      <c r="U44" s="104"/>
      <c r="V44" s="104"/>
      <c r="W44" s="104"/>
      <c r="X44" s="104"/>
      <c r="Y44" s="104"/>
      <c r="Z44" s="104"/>
      <c r="AA44" s="1"/>
      <c r="AB44" s="1"/>
      <c r="AC44" s="1"/>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c r="DH44"/>
    </row>
    <row r="45" spans="1:112" ht="22" customHeight="1" x14ac:dyDescent="0.2">
      <c r="A45" s="1"/>
      <c r="B45" s="22" t="s">
        <v>39</v>
      </c>
      <c r="C45" s="126">
        <f>INDEX(AE261:BB261,smp_act_horizon_n)</f>
        <v>100008</v>
      </c>
      <c r="D45" s="104"/>
      <c r="E45" s="104"/>
      <c r="F45" s="104"/>
      <c r="G45" s="104"/>
      <c r="H45" s="104"/>
      <c r="I45" s="104"/>
      <c r="J45" s="104"/>
      <c r="K45" s="126">
        <f>INDEX(BF261:CC261,smp_act_horizon_n)</f>
        <v>100008</v>
      </c>
      <c r="L45" s="104"/>
      <c r="M45" s="104"/>
      <c r="N45" s="104"/>
      <c r="O45" s="104"/>
      <c r="P45" s="104"/>
      <c r="Q45" s="104"/>
      <c r="R45" s="126">
        <f>INDEX(CG261:DD261,smp_act_horizon_n)</f>
        <v>100008</v>
      </c>
      <c r="S45" s="104"/>
      <c r="T45" s="104"/>
      <c r="U45" s="104"/>
      <c r="V45" s="104"/>
      <c r="W45" s="104"/>
      <c r="X45" s="104"/>
      <c r="Y45" s="104"/>
      <c r="Z45" s="104"/>
      <c r="AA45" s="1"/>
      <c r="AB45" s="1"/>
      <c r="AC45" s="1"/>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c r="DH45"/>
    </row>
    <row r="46" spans="1:112" ht="22" customHeight="1" x14ac:dyDescent="0.2">
      <c r="A46" s="1"/>
      <c r="B46" s="22" t="s">
        <v>40</v>
      </c>
      <c r="C46" s="126">
        <f>INDEX(AE269:BB269,smp_act_horizon_n)</f>
        <v>2045545.7612500004</v>
      </c>
      <c r="D46" s="104"/>
      <c r="E46" s="104"/>
      <c r="F46" s="104"/>
      <c r="G46" s="104"/>
      <c r="H46" s="104"/>
      <c r="I46" s="104"/>
      <c r="J46" s="104"/>
      <c r="K46" s="126">
        <f>INDEX(BF269:CC269,smp_act_horizon_n)</f>
        <v>1017727.1181249998</v>
      </c>
      <c r="L46" s="104"/>
      <c r="M46" s="104"/>
      <c r="N46" s="104"/>
      <c r="O46" s="104"/>
      <c r="P46" s="104"/>
      <c r="Q46" s="104"/>
      <c r="R46" s="126">
        <f>INDEX(CG269:DD269,smp_act_horizon_n)</f>
        <v>2658387.3062499999</v>
      </c>
      <c r="S46" s="104"/>
      <c r="T46" s="104"/>
      <c r="U46" s="104"/>
      <c r="V46" s="104"/>
      <c r="W46" s="104"/>
      <c r="X46" s="104"/>
      <c r="Y46" s="104"/>
      <c r="Z46" s="104"/>
      <c r="AA46" s="1"/>
      <c r="AB46" s="1"/>
      <c r="AC46" s="1"/>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c r="DH46"/>
    </row>
    <row r="47" spans="1:112" x14ac:dyDescent="0.2">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c r="DH47"/>
    </row>
    <row r="48" spans="1:112" ht="28" customHeight="1" x14ac:dyDescent="0.2">
      <c r="A48" s="1"/>
      <c r="B48" s="58" t="str">
        <f>"INTEGRATED VIEW · "&amp;UPPER(smp_view)</f>
        <v>INTEGRATED VIEW · ALL THREE</v>
      </c>
      <c r="C48" s="20"/>
      <c r="D48" s="20"/>
      <c r="E48" s="20"/>
      <c r="F48" s="20"/>
      <c r="G48" s="20"/>
      <c r="H48" s="20"/>
      <c r="I48" s="20"/>
      <c r="J48" s="20"/>
      <c r="K48" s="20"/>
      <c r="L48" s="20"/>
      <c r="M48" s="20"/>
      <c r="N48" s="20"/>
      <c r="O48" s="20"/>
      <c r="P48" s="20"/>
      <c r="Q48" s="20"/>
      <c r="R48" s="20"/>
      <c r="S48" s="20"/>
      <c r="T48" s="20"/>
      <c r="U48" s="20"/>
      <c r="V48" s="20"/>
      <c r="W48" s="20"/>
      <c r="X48" s="20"/>
      <c r="Y48" s="20"/>
      <c r="Z48" s="20"/>
      <c r="AA48" s="20"/>
      <c r="AB48" s="20"/>
      <c r="AC48" s="21" t="str">
        <f>"Active scenario: "&amp;UPPER(smp_scenario)&amp;" · Horizon: "&amp;smp_horizon</f>
        <v>Active scenario: UPSIDE · Horizon: 24 months</v>
      </c>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c r="DH48"/>
    </row>
    <row r="49" spans="1:112" ht="24" customHeight="1" x14ac:dyDescent="0.2">
      <c r="A49" s="1"/>
      <c r="B49" s="27"/>
      <c r="C49" s="28" t="str">
        <f t="shared" ref="C49:Z49" si="0">IF((COLUMN()-COLUMN($C$49)+1)&gt;smp_act_horizon_n,"","M"&amp;(COLUMN()-COLUMN($C$49)+1)&amp;" · "&amp;CHOOSE(MOD(smp_fy_start_month-1+(COLUMN()-COLUMN($C$49)),12)+1,"Jan","Feb","Mar","Apr","May","Jun","Jul","Aug","Sep","Oct","Nov","Dec"))</f>
        <v>M1 · Jul</v>
      </c>
      <c r="D49" s="28" t="str">
        <f t="shared" si="0"/>
        <v>M2 · Aug</v>
      </c>
      <c r="E49" s="28" t="str">
        <f t="shared" si="0"/>
        <v>M3 · Sep</v>
      </c>
      <c r="F49" s="28" t="str">
        <f t="shared" si="0"/>
        <v>M4 · Oct</v>
      </c>
      <c r="G49" s="28" t="str">
        <f t="shared" si="0"/>
        <v>M5 · Nov</v>
      </c>
      <c r="H49" s="28" t="str">
        <f t="shared" si="0"/>
        <v>M6 · Dec</v>
      </c>
      <c r="I49" s="28" t="str">
        <f t="shared" si="0"/>
        <v>M7 · Jan</v>
      </c>
      <c r="J49" s="28" t="str">
        <f t="shared" si="0"/>
        <v>M8 · Feb</v>
      </c>
      <c r="K49" s="28" t="str">
        <f t="shared" si="0"/>
        <v>M9 · Mar</v>
      </c>
      <c r="L49" s="28" t="str">
        <f t="shared" si="0"/>
        <v>M10 · Apr</v>
      </c>
      <c r="M49" s="28" t="str">
        <f t="shared" si="0"/>
        <v>M11 · May</v>
      </c>
      <c r="N49" s="28" t="str">
        <f t="shared" si="0"/>
        <v>M12 · Jun</v>
      </c>
      <c r="O49" s="28" t="str">
        <f t="shared" si="0"/>
        <v>M13 · Jul</v>
      </c>
      <c r="P49" s="28" t="str">
        <f t="shared" si="0"/>
        <v>M14 · Aug</v>
      </c>
      <c r="Q49" s="28" t="str">
        <f t="shared" si="0"/>
        <v>M15 · Sep</v>
      </c>
      <c r="R49" s="28" t="str">
        <f t="shared" si="0"/>
        <v>M16 · Oct</v>
      </c>
      <c r="S49" s="28" t="str">
        <f t="shared" si="0"/>
        <v>M17 · Nov</v>
      </c>
      <c r="T49" s="28" t="str">
        <f t="shared" si="0"/>
        <v>M18 · Dec</v>
      </c>
      <c r="U49" s="28" t="str">
        <f t="shared" si="0"/>
        <v>M19 · Jan</v>
      </c>
      <c r="V49" s="28" t="str">
        <f t="shared" si="0"/>
        <v>M20 · Feb</v>
      </c>
      <c r="W49" s="28" t="str">
        <f t="shared" si="0"/>
        <v>M21 · Mar</v>
      </c>
      <c r="X49" s="28" t="str">
        <f t="shared" si="0"/>
        <v>M22 · Apr</v>
      </c>
      <c r="Y49" s="28" t="str">
        <f t="shared" si="0"/>
        <v>M23 · May</v>
      </c>
      <c r="Z49" s="28" t="str">
        <f t="shared" si="0"/>
        <v>M24 · Jun</v>
      </c>
      <c r="AA49" s="1"/>
      <c r="AB49" s="59" t="s">
        <v>41</v>
      </c>
      <c r="AC49" s="59" t="str">
        <f>IF(smp_act_horizon_n&lt;24,"","Y2 total")</f>
        <v>Y2 total</v>
      </c>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c r="DH49"/>
    </row>
    <row r="50" spans="1:112" ht="20" customHeight="1" x14ac:dyDescent="0.2">
      <c r="A50" s="1"/>
      <c r="B50" s="60" t="str">
        <f>IF(OR(smp_act_view_idx=1,smp_act_view_idx=4),"■ INCOME STATEMENT (P&amp;L)","")</f>
        <v>■ INCOME STATEMENT (P&amp;L)</v>
      </c>
      <c r="C50" s="20"/>
      <c r="D50" s="20"/>
      <c r="E50" s="20"/>
      <c r="F50" s="20"/>
      <c r="G50" s="20"/>
      <c r="H50" s="20"/>
      <c r="I50" s="20"/>
      <c r="J50" s="20"/>
      <c r="K50" s="20"/>
      <c r="L50" s="20"/>
      <c r="M50" s="20"/>
      <c r="N50" s="20"/>
      <c r="O50" s="20"/>
      <c r="P50" s="20"/>
      <c r="Q50" s="20"/>
      <c r="R50" s="20"/>
      <c r="S50" s="20"/>
      <c r="T50" s="20"/>
      <c r="U50" s="20"/>
      <c r="V50" s="20"/>
      <c r="W50" s="20"/>
      <c r="X50" s="20"/>
      <c r="Y50" s="20"/>
      <c r="Z50" s="20"/>
      <c r="AA50" s="20"/>
      <c r="AB50" s="20"/>
      <c r="AC50" s="20"/>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c r="DH50"/>
    </row>
    <row r="51" spans="1:112" ht="20" customHeight="1" x14ac:dyDescent="0.2">
      <c r="A51" s="1"/>
      <c r="B51" s="61" t="str">
        <f>IF(OR(smp_act_view_idx=1,smp_act_view_idx=4),"REVENUE","")</f>
        <v>REVENUE</v>
      </c>
      <c r="C51" s="2"/>
      <c r="D51" s="2"/>
      <c r="E51" s="2"/>
      <c r="F51" s="2"/>
      <c r="G51" s="2"/>
      <c r="H51" s="2"/>
      <c r="I51" s="2"/>
      <c r="J51" s="2"/>
      <c r="K51" s="2"/>
      <c r="L51" s="2"/>
      <c r="M51" s="2"/>
      <c r="N51" s="2"/>
      <c r="O51" s="2"/>
      <c r="P51" s="2"/>
      <c r="Q51" s="2"/>
      <c r="R51" s="2"/>
      <c r="S51" s="2"/>
      <c r="T51" s="2"/>
      <c r="U51" s="2"/>
      <c r="V51" s="2"/>
      <c r="W51" s="2"/>
      <c r="X51" s="2"/>
      <c r="Y51" s="2"/>
      <c r="Z51" s="2"/>
      <c r="AA51" s="1"/>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c r="DH51"/>
    </row>
    <row r="52" spans="1:112" ht="20" customHeight="1" x14ac:dyDescent="0.2">
      <c r="A52" s="1"/>
      <c r="B52" s="22" t="str">
        <f>IF(OR(smp_act_view_idx=1,smp_act_view_idx=4),"   "&amp;smp_sl1_name,"")</f>
        <v xml:space="preserve">   Retained creative</v>
      </c>
      <c r="C52" s="62">
        <f t="shared" ref="C52:C57" si="1">IF(AND(OR(smp_act_view_idx=1,smp_act_view_idx=4),1&lt;=smp_act_horizon_n),CHOOSE(smp_act_scn_idx,AE185,BF185,CG185),"")</f>
        <v>99000.000000000015</v>
      </c>
      <c r="D52" s="62">
        <f t="shared" ref="D52:D57" si="2">IF(AND(OR(smp_act_view_idx=1,smp_act_view_idx=4),2&lt;=smp_act_horizon_n),CHOOSE(smp_act_scn_idx,AF185,BG185,CH185),"")</f>
        <v>99000.000000000015</v>
      </c>
      <c r="E52" s="62">
        <f t="shared" ref="E52:E57" si="3">IF(AND(OR(smp_act_view_idx=1,smp_act_view_idx=4),3&lt;=smp_act_horizon_n),CHOOSE(smp_act_scn_idx,AG185,BH185,CI185),"")</f>
        <v>101200.00000000001</v>
      </c>
      <c r="F52" s="62">
        <f t="shared" ref="F52:F57" si="4">IF(AND(OR(smp_act_view_idx=1,smp_act_view_idx=4),4&lt;=smp_act_horizon_n),CHOOSE(smp_act_scn_idx,AH185,BI185,CJ185),"")</f>
        <v>104500.00000000001</v>
      </c>
      <c r="G52" s="62">
        <f t="shared" ref="G52:G57" si="5">IF(AND(OR(smp_act_view_idx=1,smp_act_view_idx=4),5&lt;=smp_act_horizon_n),CHOOSE(smp_act_scn_idx,AI185,BJ185,CK185),"")</f>
        <v>107800.00000000001</v>
      </c>
      <c r="H52" s="62">
        <f t="shared" ref="H52:H57" si="6">IF(AND(OR(smp_act_view_idx=1,smp_act_view_idx=4),6&lt;=smp_act_horizon_n),CHOOSE(smp_act_scn_idx,AJ185,BK185,CL185),"")</f>
        <v>110000.00000000001</v>
      </c>
      <c r="I52" s="62">
        <f t="shared" ref="I52:I57" si="7">IF(AND(OR(smp_act_view_idx=1,smp_act_view_idx=4),7&lt;=smp_act_horizon_n),CHOOSE(smp_act_scn_idx,AK185,BL185,CM185),"")</f>
        <v>112200.00000000001</v>
      </c>
      <c r="J52" s="62">
        <f t="shared" ref="J52:J57" si="8">IF(AND(OR(smp_act_view_idx=1,smp_act_view_idx=4),8&lt;=smp_act_horizon_n),CHOOSE(smp_act_scn_idx,AL185,BM185,CN185),"")</f>
        <v>115500.00000000001</v>
      </c>
      <c r="K52" s="62">
        <f t="shared" ref="K52:K57" si="9">IF(AND(OR(smp_act_view_idx=1,smp_act_view_idx=4),9&lt;=smp_act_horizon_n),CHOOSE(smp_act_scn_idx,AM185,BN185,CO185),"")</f>
        <v>118800.00000000001</v>
      </c>
      <c r="L52" s="62">
        <f t="shared" ref="L52:L57" si="10">IF(AND(OR(smp_act_view_idx=1,smp_act_view_idx=4),10&lt;=smp_act_horizon_n),CHOOSE(smp_act_scn_idx,AN185,BO185,CP185),"")</f>
        <v>121000.00000000001</v>
      </c>
      <c r="M52" s="62">
        <f t="shared" ref="M52:M57" si="11">IF(AND(OR(smp_act_view_idx=1,smp_act_view_idx=4),11&lt;=smp_act_horizon_n),CHOOSE(smp_act_scn_idx,AO185,BP185,CQ185),"")</f>
        <v>123200.00000000001</v>
      </c>
      <c r="N52" s="62">
        <f t="shared" ref="N52:N57" si="12">IF(AND(OR(smp_act_view_idx=1,smp_act_view_idx=4),12&lt;=smp_act_horizon_n),CHOOSE(smp_act_scn_idx,AP185,BQ185,CR185),"")</f>
        <v>126500.00000000001</v>
      </c>
      <c r="O52" s="62">
        <f t="shared" ref="O52:O57" si="13">IF(AND(OR(smp_act_view_idx=1,smp_act_view_idx=4),13&lt;=smp_act_horizon_n),CHOOSE(smp_act_scn_idx,AQ185,BR185,CS185),"")</f>
        <v>129800.00000000001</v>
      </c>
      <c r="P52" s="62">
        <f t="shared" ref="P52:P57" si="14">IF(AND(OR(smp_act_view_idx=1,smp_act_view_idx=4),14&lt;=smp_act_horizon_n),CHOOSE(smp_act_scn_idx,AR185,BS185,CT185),"")</f>
        <v>132000</v>
      </c>
      <c r="Q52" s="62">
        <f t="shared" ref="Q52:Q57" si="15">IF(AND(OR(smp_act_view_idx=1,smp_act_view_idx=4),15&lt;=smp_act_horizon_n),CHOOSE(smp_act_scn_idx,AS185,BT185,CU185),"")</f>
        <v>134200</v>
      </c>
      <c r="R52" s="62">
        <f t="shared" ref="R52:R57" si="16">IF(AND(OR(smp_act_view_idx=1,smp_act_view_idx=4),16&lt;=smp_act_horizon_n),CHOOSE(smp_act_scn_idx,AT185,BU185,CV185),"")</f>
        <v>137500</v>
      </c>
      <c r="S52" s="62">
        <f t="shared" ref="S52:S57" si="17">IF(AND(OR(smp_act_view_idx=1,smp_act_view_idx=4),17&lt;=smp_act_horizon_n),CHOOSE(smp_act_scn_idx,AU185,BV185,CW185),"")</f>
        <v>140800</v>
      </c>
      <c r="T52" s="62">
        <f t="shared" ref="T52:T57" si="18">IF(AND(OR(smp_act_view_idx=1,smp_act_view_idx=4),18&lt;=smp_act_horizon_n),CHOOSE(smp_act_scn_idx,AV185,BW185,CX185),"")</f>
        <v>143000</v>
      </c>
      <c r="U52" s="62">
        <f t="shared" ref="U52:U57" si="19">IF(AND(OR(smp_act_view_idx=1,smp_act_view_idx=4),19&lt;=smp_act_horizon_n),CHOOSE(smp_act_scn_idx,AW185,BX185,CY185),"")</f>
        <v>145200</v>
      </c>
      <c r="V52" s="62">
        <f t="shared" ref="V52:V57" si="20">IF(AND(OR(smp_act_view_idx=1,smp_act_view_idx=4),20&lt;=smp_act_horizon_n),CHOOSE(smp_act_scn_idx,AX185,BY185,CZ185),"")</f>
        <v>148500</v>
      </c>
      <c r="W52" s="62">
        <f t="shared" ref="W52:W57" si="21">IF(AND(OR(smp_act_view_idx=1,smp_act_view_idx=4),21&lt;=smp_act_horizon_n),CHOOSE(smp_act_scn_idx,AY185,BZ185,DA185),"")</f>
        <v>148500</v>
      </c>
      <c r="X52" s="62">
        <f t="shared" ref="X52:X57" si="22">IF(AND(OR(smp_act_view_idx=1,smp_act_view_idx=4),22&lt;=smp_act_horizon_n),CHOOSE(smp_act_scn_idx,AZ185,CA185,DB185),"")</f>
        <v>148500</v>
      </c>
      <c r="Y52" s="62">
        <f t="shared" ref="Y52:Y57" si="23">IF(AND(OR(smp_act_view_idx=1,smp_act_view_idx=4),23&lt;=smp_act_horizon_n),CHOOSE(smp_act_scn_idx,BA185,CB185,DC185),"")</f>
        <v>148500</v>
      </c>
      <c r="Z52" s="62">
        <f t="shared" ref="Z52:Z57" si="24">IF(AND(OR(smp_act_view_idx=1,smp_act_view_idx=4),24&lt;=smp_act_horizon_n),CHOOSE(smp_act_scn_idx,BB185,CC185,DD185),"")</f>
        <v>148500</v>
      </c>
      <c r="AA52" s="1"/>
      <c r="AB52" s="63">
        <f t="shared" ref="AB52:AB57" si="25">IF(OR(smp_act_view_idx=1,smp_act_view_idx=4),CHOOSE(smp_act_scn_idx,BC185,CD185,DE185),"")</f>
        <v>1338700.0000000002</v>
      </c>
      <c r="AC52" s="63">
        <f t="shared" ref="AC52:AC57" si="26">IF(AND(OR(smp_act_view_idx=1,smp_act_view_idx=4),smp_act_horizon_n&gt;=24),CHOOSE(smp_act_scn_idx,BD185,CE185,DF185),"")</f>
        <v>1705000</v>
      </c>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c r="DH52"/>
    </row>
    <row r="53" spans="1:112" ht="20" customHeight="1" x14ac:dyDescent="0.2">
      <c r="A53" s="1"/>
      <c r="B53" s="22" t="str">
        <f>IF(OR(smp_act_view_idx=1,smp_act_view_idx=4),"   "&amp;smp_sl2_name,"")</f>
        <v xml:space="preserve">   Project campaigns</v>
      </c>
      <c r="C53" s="62">
        <f t="shared" si="1"/>
        <v>154000</v>
      </c>
      <c r="D53" s="62">
        <f t="shared" si="2"/>
        <v>165000</v>
      </c>
      <c r="E53" s="62">
        <f t="shared" si="3"/>
        <v>176000</v>
      </c>
      <c r="F53" s="62">
        <f t="shared" si="4"/>
        <v>187000.00000000003</v>
      </c>
      <c r="G53" s="62">
        <f t="shared" si="5"/>
        <v>198000.00000000003</v>
      </c>
      <c r="H53" s="62">
        <f t="shared" si="6"/>
        <v>187000.00000000003</v>
      </c>
      <c r="I53" s="62">
        <f t="shared" si="7"/>
        <v>176000</v>
      </c>
      <c r="J53" s="62">
        <f t="shared" si="8"/>
        <v>170500</v>
      </c>
      <c r="K53" s="62">
        <f t="shared" si="9"/>
        <v>181500.00000000003</v>
      </c>
      <c r="L53" s="62">
        <f t="shared" si="10"/>
        <v>192500.00000000003</v>
      </c>
      <c r="M53" s="62">
        <f t="shared" si="11"/>
        <v>198000.00000000003</v>
      </c>
      <c r="N53" s="62">
        <f t="shared" si="12"/>
        <v>192500.00000000003</v>
      </c>
      <c r="O53" s="62">
        <f t="shared" si="13"/>
        <v>181500.00000000003</v>
      </c>
      <c r="P53" s="62">
        <f t="shared" si="14"/>
        <v>192500.00000000003</v>
      </c>
      <c r="Q53" s="62">
        <f t="shared" si="15"/>
        <v>203500.00000000003</v>
      </c>
      <c r="R53" s="62">
        <f t="shared" si="16"/>
        <v>214500.00000000003</v>
      </c>
      <c r="S53" s="62">
        <f t="shared" si="17"/>
        <v>220000.00000000003</v>
      </c>
      <c r="T53" s="62">
        <f t="shared" si="18"/>
        <v>214500.00000000003</v>
      </c>
      <c r="U53" s="62">
        <f t="shared" si="19"/>
        <v>203500.00000000003</v>
      </c>
      <c r="V53" s="62">
        <f t="shared" si="20"/>
        <v>198000.00000000003</v>
      </c>
      <c r="W53" s="62">
        <f t="shared" si="21"/>
        <v>209000.00000000003</v>
      </c>
      <c r="X53" s="62">
        <f t="shared" si="22"/>
        <v>220000.00000000003</v>
      </c>
      <c r="Y53" s="62">
        <f t="shared" si="23"/>
        <v>225500.00000000003</v>
      </c>
      <c r="Z53" s="62">
        <f t="shared" si="24"/>
        <v>220000.00000000003</v>
      </c>
      <c r="AA53" s="1"/>
      <c r="AB53" s="63">
        <f t="shared" si="25"/>
        <v>2178000</v>
      </c>
      <c r="AC53" s="63">
        <f t="shared" si="26"/>
        <v>2502500.0000000005</v>
      </c>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c r="DH53"/>
    </row>
    <row r="54" spans="1:112" ht="20" customHeight="1" x14ac:dyDescent="0.2">
      <c r="A54" s="1"/>
      <c r="B54" s="22" t="str">
        <f>IF(OR(smp_act_view_idx=1,smp_act_view_idx=4),"   "&amp;smp_sl3_name,"")</f>
        <v xml:space="preserve">   Performance marketing</v>
      </c>
      <c r="C54" s="62">
        <f t="shared" si="1"/>
        <v>66000</v>
      </c>
      <c r="D54" s="62">
        <f t="shared" si="2"/>
        <v>71500</v>
      </c>
      <c r="E54" s="62">
        <f t="shared" si="3"/>
        <v>77000</v>
      </c>
      <c r="F54" s="62">
        <f t="shared" si="4"/>
        <v>80300</v>
      </c>
      <c r="G54" s="62">
        <f t="shared" si="5"/>
        <v>82500</v>
      </c>
      <c r="H54" s="62">
        <f t="shared" si="6"/>
        <v>85800</v>
      </c>
      <c r="I54" s="62">
        <f t="shared" si="7"/>
        <v>88000</v>
      </c>
      <c r="J54" s="62">
        <f t="shared" si="8"/>
        <v>90200.000000000015</v>
      </c>
      <c r="K54" s="62">
        <f t="shared" si="9"/>
        <v>93500.000000000015</v>
      </c>
      <c r="L54" s="62">
        <f t="shared" si="10"/>
        <v>96800.000000000015</v>
      </c>
      <c r="M54" s="62">
        <f t="shared" si="11"/>
        <v>101200.00000000001</v>
      </c>
      <c r="N54" s="62">
        <f t="shared" si="12"/>
        <v>104500.00000000001</v>
      </c>
      <c r="O54" s="62">
        <f t="shared" si="13"/>
        <v>107800.00000000001</v>
      </c>
      <c r="P54" s="62">
        <f t="shared" si="14"/>
        <v>110000.00000000001</v>
      </c>
      <c r="Q54" s="62">
        <f t="shared" si="15"/>
        <v>112200.00000000001</v>
      </c>
      <c r="R54" s="62">
        <f t="shared" si="16"/>
        <v>115500.00000000001</v>
      </c>
      <c r="S54" s="62">
        <f t="shared" si="17"/>
        <v>118800.00000000001</v>
      </c>
      <c r="T54" s="62">
        <f t="shared" si="18"/>
        <v>121000.00000000001</v>
      </c>
      <c r="U54" s="62">
        <f t="shared" si="19"/>
        <v>123200.00000000001</v>
      </c>
      <c r="V54" s="62">
        <f t="shared" si="20"/>
        <v>126500.00000000001</v>
      </c>
      <c r="W54" s="62">
        <f t="shared" si="21"/>
        <v>126500.00000000001</v>
      </c>
      <c r="X54" s="62">
        <f t="shared" si="22"/>
        <v>126500.00000000001</v>
      </c>
      <c r="Y54" s="62">
        <f t="shared" si="23"/>
        <v>126500.00000000001</v>
      </c>
      <c r="Z54" s="62">
        <f t="shared" si="24"/>
        <v>126500.00000000001</v>
      </c>
      <c r="AA54" s="1"/>
      <c r="AB54" s="63">
        <f t="shared" si="25"/>
        <v>1037300</v>
      </c>
      <c r="AC54" s="63">
        <f t="shared" si="26"/>
        <v>1441000.0000000002</v>
      </c>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c r="DH54"/>
    </row>
    <row r="55" spans="1:112" ht="20" customHeight="1" x14ac:dyDescent="0.2">
      <c r="A55" s="1"/>
      <c r="B55" s="22" t="str">
        <f>IF(OR(smp_act_view_idx=1,smp_act_view_idx=4),"   "&amp;smp_sl4_name,"")</f>
        <v xml:space="preserve">   Web build &amp; support</v>
      </c>
      <c r="C55" s="62">
        <f t="shared" si="1"/>
        <v>49500.000000000007</v>
      </c>
      <c r="D55" s="62">
        <f t="shared" si="2"/>
        <v>49500.000000000007</v>
      </c>
      <c r="E55" s="62">
        <f t="shared" si="3"/>
        <v>49500.000000000007</v>
      </c>
      <c r="F55" s="62">
        <f t="shared" si="4"/>
        <v>49500.000000000007</v>
      </c>
      <c r="G55" s="62">
        <f t="shared" si="5"/>
        <v>49500.000000000007</v>
      </c>
      <c r="H55" s="62">
        <f t="shared" si="6"/>
        <v>49500.000000000007</v>
      </c>
      <c r="I55" s="62">
        <f t="shared" si="7"/>
        <v>49500.000000000007</v>
      </c>
      <c r="J55" s="62">
        <f t="shared" si="8"/>
        <v>49500.000000000007</v>
      </c>
      <c r="K55" s="62">
        <f t="shared" si="9"/>
        <v>49500.000000000007</v>
      </c>
      <c r="L55" s="62">
        <f t="shared" si="10"/>
        <v>49500.000000000007</v>
      </c>
      <c r="M55" s="62">
        <f t="shared" si="11"/>
        <v>49500.000000000007</v>
      </c>
      <c r="N55" s="62">
        <f t="shared" si="12"/>
        <v>49500.000000000007</v>
      </c>
      <c r="O55" s="62">
        <f t="shared" si="13"/>
        <v>52800.000000000007</v>
      </c>
      <c r="P55" s="62">
        <f t="shared" si="14"/>
        <v>52800.000000000007</v>
      </c>
      <c r="Q55" s="62">
        <f t="shared" si="15"/>
        <v>52800.000000000007</v>
      </c>
      <c r="R55" s="62">
        <f t="shared" si="16"/>
        <v>52800.000000000007</v>
      </c>
      <c r="S55" s="62">
        <f t="shared" si="17"/>
        <v>52800.000000000007</v>
      </c>
      <c r="T55" s="62">
        <f t="shared" si="18"/>
        <v>52800.000000000007</v>
      </c>
      <c r="U55" s="62">
        <f t="shared" si="19"/>
        <v>52800.000000000007</v>
      </c>
      <c r="V55" s="62">
        <f t="shared" si="20"/>
        <v>52800.000000000007</v>
      </c>
      <c r="W55" s="62">
        <f t="shared" si="21"/>
        <v>52800.000000000007</v>
      </c>
      <c r="X55" s="62">
        <f t="shared" si="22"/>
        <v>52800.000000000007</v>
      </c>
      <c r="Y55" s="62">
        <f t="shared" si="23"/>
        <v>52800.000000000007</v>
      </c>
      <c r="Z55" s="62">
        <f t="shared" si="24"/>
        <v>52800.000000000007</v>
      </c>
      <c r="AA55" s="1"/>
      <c r="AB55" s="63">
        <f t="shared" si="25"/>
        <v>594000.00000000012</v>
      </c>
      <c r="AC55" s="63">
        <f t="shared" si="26"/>
        <v>633600.00000000012</v>
      </c>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c r="DH55"/>
    </row>
    <row r="56" spans="1:112" ht="20" customHeight="1" x14ac:dyDescent="0.2">
      <c r="A56" s="1"/>
      <c r="B56" s="22" t="str">
        <f>IF(OR(smp_act_view_idx=1,smp_act_view_idx=4),"   "&amp;smp_sl5_name,"")</f>
        <v xml:space="preserve">   Subcontracted media</v>
      </c>
      <c r="C56" s="62">
        <f t="shared" si="1"/>
        <v>27500.000000000004</v>
      </c>
      <c r="D56" s="62">
        <f t="shared" si="2"/>
        <v>27500.000000000004</v>
      </c>
      <c r="E56" s="62">
        <f t="shared" si="3"/>
        <v>27500.000000000004</v>
      </c>
      <c r="F56" s="62">
        <f t="shared" si="4"/>
        <v>27500.000000000004</v>
      </c>
      <c r="G56" s="62">
        <f t="shared" si="5"/>
        <v>27500.000000000004</v>
      </c>
      <c r="H56" s="62">
        <f t="shared" si="6"/>
        <v>27500.000000000004</v>
      </c>
      <c r="I56" s="62">
        <f t="shared" si="7"/>
        <v>27500.000000000004</v>
      </c>
      <c r="J56" s="62">
        <f t="shared" si="8"/>
        <v>27500.000000000004</v>
      </c>
      <c r="K56" s="62">
        <f t="shared" si="9"/>
        <v>27500.000000000004</v>
      </c>
      <c r="L56" s="62">
        <f t="shared" si="10"/>
        <v>27500.000000000004</v>
      </c>
      <c r="M56" s="62">
        <f t="shared" si="11"/>
        <v>27500.000000000004</v>
      </c>
      <c r="N56" s="62">
        <f t="shared" si="12"/>
        <v>27500.000000000004</v>
      </c>
      <c r="O56" s="62">
        <f t="shared" si="13"/>
        <v>29700.000000000004</v>
      </c>
      <c r="P56" s="62">
        <f t="shared" si="14"/>
        <v>29700.000000000004</v>
      </c>
      <c r="Q56" s="62">
        <f t="shared" si="15"/>
        <v>29700.000000000004</v>
      </c>
      <c r="R56" s="62">
        <f t="shared" si="16"/>
        <v>29700.000000000004</v>
      </c>
      <c r="S56" s="62">
        <f t="shared" si="17"/>
        <v>29700.000000000004</v>
      </c>
      <c r="T56" s="62">
        <f t="shared" si="18"/>
        <v>29700.000000000004</v>
      </c>
      <c r="U56" s="62">
        <f t="shared" si="19"/>
        <v>29700.000000000004</v>
      </c>
      <c r="V56" s="62">
        <f t="shared" si="20"/>
        <v>29700.000000000004</v>
      </c>
      <c r="W56" s="62">
        <f t="shared" si="21"/>
        <v>29700.000000000004</v>
      </c>
      <c r="X56" s="62">
        <f t="shared" si="22"/>
        <v>29700.000000000004</v>
      </c>
      <c r="Y56" s="62">
        <f t="shared" si="23"/>
        <v>29700.000000000004</v>
      </c>
      <c r="Z56" s="62">
        <f t="shared" si="24"/>
        <v>29700.000000000004</v>
      </c>
      <c r="AA56" s="1"/>
      <c r="AB56" s="63">
        <f t="shared" si="25"/>
        <v>330000.00000000006</v>
      </c>
      <c r="AC56" s="63">
        <f t="shared" si="26"/>
        <v>356400.00000000006</v>
      </c>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c r="DH56"/>
    </row>
    <row r="57" spans="1:112" ht="20" customHeight="1" x14ac:dyDescent="0.2">
      <c r="A57" s="1"/>
      <c r="B57" s="64" t="str">
        <f>IF(OR(smp_act_view_idx=1,smp_act_view_idx=4),"Total revenue","")</f>
        <v>Total revenue</v>
      </c>
      <c r="C57" s="65">
        <f t="shared" si="1"/>
        <v>396000</v>
      </c>
      <c r="D57" s="65">
        <f t="shared" si="2"/>
        <v>412500</v>
      </c>
      <c r="E57" s="65">
        <f t="shared" si="3"/>
        <v>431200</v>
      </c>
      <c r="F57" s="65">
        <f t="shared" si="4"/>
        <v>448800.00000000006</v>
      </c>
      <c r="G57" s="65">
        <f t="shared" si="5"/>
        <v>465300.00000000006</v>
      </c>
      <c r="H57" s="65">
        <f t="shared" si="6"/>
        <v>459800.00000000006</v>
      </c>
      <c r="I57" s="65">
        <f t="shared" si="7"/>
        <v>453200</v>
      </c>
      <c r="J57" s="65">
        <f t="shared" si="8"/>
        <v>453200</v>
      </c>
      <c r="K57" s="65">
        <f t="shared" si="9"/>
        <v>470800.00000000006</v>
      </c>
      <c r="L57" s="65">
        <f t="shared" si="10"/>
        <v>487300.00000000006</v>
      </c>
      <c r="M57" s="65">
        <f t="shared" si="11"/>
        <v>499400.00000000006</v>
      </c>
      <c r="N57" s="65">
        <f t="shared" si="12"/>
        <v>500500.00000000006</v>
      </c>
      <c r="O57" s="65">
        <f t="shared" si="13"/>
        <v>501600.00000000006</v>
      </c>
      <c r="P57" s="65">
        <f t="shared" si="14"/>
        <v>517000</v>
      </c>
      <c r="Q57" s="65">
        <f t="shared" si="15"/>
        <v>532400</v>
      </c>
      <c r="R57" s="65">
        <f t="shared" si="16"/>
        <v>550000</v>
      </c>
      <c r="S57" s="65">
        <f t="shared" si="17"/>
        <v>562100</v>
      </c>
      <c r="T57" s="65">
        <f t="shared" si="18"/>
        <v>561000</v>
      </c>
      <c r="U57" s="65">
        <f t="shared" si="19"/>
        <v>554400</v>
      </c>
      <c r="V57" s="65">
        <f t="shared" si="20"/>
        <v>555500</v>
      </c>
      <c r="W57" s="65">
        <f t="shared" si="21"/>
        <v>566500</v>
      </c>
      <c r="X57" s="65">
        <f t="shared" si="22"/>
        <v>577500</v>
      </c>
      <c r="Y57" s="65">
        <f t="shared" si="23"/>
        <v>583000</v>
      </c>
      <c r="Z57" s="65">
        <f t="shared" si="24"/>
        <v>577500</v>
      </c>
      <c r="AA57" s="1"/>
      <c r="AB57" s="65">
        <f t="shared" si="25"/>
        <v>5478000</v>
      </c>
      <c r="AC57" s="65">
        <f t="shared" si="26"/>
        <v>6638500</v>
      </c>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c r="DH57"/>
    </row>
    <row r="58" spans="1:112" ht="20" customHeight="1" x14ac:dyDescent="0.2">
      <c r="A58" s="1"/>
      <c r="B58" s="61" t="str">
        <f>IF(OR(smp_act_view_idx=1,smp_act_view_idx=4),"DIRECT COST","")</f>
        <v>DIRECT COST</v>
      </c>
      <c r="C58" s="2"/>
      <c r="D58" s="2"/>
      <c r="E58" s="2"/>
      <c r="F58" s="2"/>
      <c r="G58" s="2"/>
      <c r="H58" s="2"/>
      <c r="I58" s="2"/>
      <c r="J58" s="2"/>
      <c r="K58" s="2"/>
      <c r="L58" s="2"/>
      <c r="M58" s="2"/>
      <c r="N58" s="2"/>
      <c r="O58" s="2"/>
      <c r="P58" s="2"/>
      <c r="Q58" s="2"/>
      <c r="R58" s="2"/>
      <c r="S58" s="2"/>
      <c r="T58" s="2"/>
      <c r="U58" s="2"/>
      <c r="V58" s="2"/>
      <c r="W58" s="2"/>
      <c r="X58" s="2"/>
      <c r="Y58" s="2"/>
      <c r="Z58" s="2"/>
      <c r="AA58" s="1"/>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c r="DH58"/>
    </row>
    <row r="59" spans="1:112" ht="20" customHeight="1" x14ac:dyDescent="0.2">
      <c r="A59" s="1"/>
      <c r="B59" s="22" t="str">
        <f>IF(OR(smp_act_view_idx=1,smp_act_view_idx=4),"   Direct cost (variable, by line)","")</f>
        <v xml:space="preserve">   Direct cost (variable, by line)</v>
      </c>
      <c r="C59" s="62">
        <f>IF(AND(OR(smp_act_view_idx=1,smp_act_view_idx=4),1&lt;=smp_act_horizon_n),CHOOSE(smp_act_scn_idx,(AE191+AE192+AE193+AE194+AE195),(BF191+BF192+BF193+BF194+BF195),(CG191+CG192+CG193+CG194+CG195)),"")</f>
        <v>170701.30000000002</v>
      </c>
      <c r="D59" s="62">
        <f>IF(AND(OR(smp_act_view_idx=1,smp_act_view_idx=4),2&lt;=smp_act_horizon_n),CHOOSE(smp_act_scn_idx,(AF191+AF192+AF193+AF194+AF195),(BG191+BG192+BG193+BG194+BG195),(CH191+CH192+CH193+CH194+CH195)),"")</f>
        <v>177277.1</v>
      </c>
      <c r="E59" s="62">
        <f>IF(AND(OR(smp_act_view_idx=1,smp_act_view_idx=4),3&lt;=smp_act_horizon_n),CHOOSE(smp_act_scn_idx,(AG191+AG192+AG193+AG194+AG195),(BH191+BH192+BH193+BH194+BH195),(CI191+CI192+CI193+CI194+CI195)),"")</f>
        <v>184629.06000000003</v>
      </c>
      <c r="F59" s="62">
        <f>IF(AND(OR(smp_act_view_idx=1,smp_act_view_idx=4),4&lt;=smp_act_horizon_n),CHOOSE(smp_act_scn_idx,(AH191+AH192+AH193+AH194+AH195),(BI191+BI192+BI193+BI194+BI195),(CJ191+CJ192+CJ193+CJ194+CJ195)),"")</f>
        <v>191679.18000000002</v>
      </c>
      <c r="G59" s="62">
        <f>IF(AND(OR(smp_act_view_idx=1,smp_act_view_idx=4),5&lt;=smp_act_horizon_n),CHOOSE(smp_act_scn_idx,(AI191+AI192+AI193+AI194+AI195),(BJ191+BJ192+BJ193+BJ194+BJ195),(CK191+CK192+CK193+CK194+CK195)),"")</f>
        <v>198384.34000000003</v>
      </c>
      <c r="H59" s="62">
        <f>IF(AND(OR(smp_act_view_idx=1,smp_act_view_idx=4),6&lt;=smp_act_horizon_n),CHOOSE(smp_act_scn_idx,(AJ191+AJ192+AJ193+AJ194+AJ195),(BK191+BK192+BK193+BK194+BK195),(CL191+CL192+CL193+CL194+CL195)),"")</f>
        <v>195344.38000000003</v>
      </c>
      <c r="I59" s="62">
        <f>IF(AND(OR(smp_act_view_idx=1,smp_act_view_idx=4),7&lt;=smp_act_horizon_n),CHOOSE(smp_act_scn_idx,(AK191+AK192+AK193+AK194+AK195),(BL191+BL192+BL193+BL194+BL195),(CM191+CM192+CM193+CM194+CM195)),"")</f>
        <v>191959.46</v>
      </c>
      <c r="J59" s="62">
        <f>IF(AND(OR(smp_act_view_idx=1,smp_act_view_idx=4),8&lt;=smp_act_horizon_n),CHOOSE(smp_act_scn_idx,(AL191+AL192+AL193+AL194+AL195),(BM191+BM192+BM193+BM194+BM195),(CN191+CN192+CN193+CN194+CN195)),"")</f>
        <v>191388.12000000002</v>
      </c>
      <c r="K59" s="62">
        <f>IF(AND(OR(smp_act_view_idx=1,smp_act_view_idx=4),9&lt;=smp_act_horizon_n),CHOOSE(smp_act_scn_idx,(AM191+AM192+AM193+AM194+AM195),(BN191+BN192+BN193+BN194+BN195),(CO191+CO192+CO193+CO194+CO195)),"")</f>
        <v>198438.24000000002</v>
      </c>
      <c r="L59" s="62">
        <f>IF(AND(OR(smp_act_view_idx=1,smp_act_view_idx=4),10&lt;=smp_act_horizon_n),CHOOSE(smp_act_scn_idx,(AN191+AN192+AN193+AN194+AN195),(BO191+BO192+BO193+BO194+BO195),(CP191+CP192+CP193+CP194+CP195)),"")</f>
        <v>205100.28000000003</v>
      </c>
      <c r="M59" s="62">
        <f>IF(AND(OR(smp_act_view_idx=1,smp_act_view_idx=4),11&lt;=smp_act_horizon_n),CHOOSE(smp_act_scn_idx,(AO191+AO192+AO193+AO194+AO195),(BP191+BP192+BP193+BP194+BP195),(CQ191+CQ192+CQ193+CQ194+CQ195)),"")</f>
        <v>209681.78000000003</v>
      </c>
      <c r="N59" s="62">
        <f>IF(AND(OR(smp_act_view_idx=1,smp_act_view_idx=4),12&lt;=smp_act_horizon_n),CHOOSE(smp_act_scn_idx,(AP191+AP192+AP193+AP194+AP195),(BQ191+BQ192+BQ193+BQ194+BQ195),(CR191+CR192+CR193+CR194+CR195)),"")</f>
        <v>209455.40000000002</v>
      </c>
      <c r="O59" s="62">
        <f>IF(AND(OR(smp_act_view_idx=1,smp_act_view_idx=4),13&lt;=smp_act_horizon_n),CHOOSE(smp_act_scn_idx,(AQ191+AQ192+AQ193+AQ194+AQ195),(BR191+BR192+BR193+BR194+BR195),(CS191+CS192+CS193+CS194+CS195)),"")</f>
        <v>210253.12000000002</v>
      </c>
      <c r="P59" s="62">
        <f>IF(AND(OR(smp_act_view_idx=1,smp_act_view_idx=4),14&lt;=smp_act_horizon_n),CHOOSE(smp_act_scn_idx,(AR191+AR192+AR193+AR194+AR195),(BS191+BS192+BS193+BS194+BS195),(CT191+CT192+CT193+CT194+CT195)),"")</f>
        <v>216570.2</v>
      </c>
      <c r="Q59" s="62">
        <f>IF(AND(OR(smp_act_view_idx=1,smp_act_view_idx=4),15&lt;=smp_act_horizon_n),CHOOSE(smp_act_scn_idx,(AS191+AS192+AS193+AS194+AS195),(BT191+BT192+BT193+BT194+BT195),(CU191+CU192+CU193+CU194+CU195)),"")</f>
        <v>222887.28000000003</v>
      </c>
      <c r="R59" s="62">
        <f>IF(AND(OR(smp_act_view_idx=1,smp_act_view_idx=4),16&lt;=smp_act_horizon_n),CHOOSE(smp_act_scn_idx,(AT191+AT192+AT193+AT194+AT195),(BU191+BU192+BU193+BU194+BU195),(CV191+CV192+CV193+CV194+CV195)),"")</f>
        <v>229937.4</v>
      </c>
      <c r="S59" s="62">
        <f>IF(AND(OR(smp_act_view_idx=1,smp_act_view_idx=4),17&lt;=smp_act_horizon_n),CHOOSE(smp_act_scn_idx,(AU191+AU192+AU193+AU194+AU195),(BV191+BV192+BV193+BV194+BV195),(CW191+CW192+CW193+CW194+CW195)),"")</f>
        <v>234562.02000000005</v>
      </c>
      <c r="T59" s="62">
        <f>IF(AND(OR(smp_act_view_idx=1,smp_act_view_idx=4),18&lt;=smp_act_horizon_n),CHOOSE(smp_act_scn_idx,(AV191+AV192+AV193+AV194+AV195),(BW191+BW192+BW193+BW194+BW195),(CX191+CX192+CX193+CX194+CX195)),"")</f>
        <v>233602.60000000003</v>
      </c>
      <c r="U59" s="62">
        <f>IF(AND(OR(smp_act_view_idx=1,smp_act_view_idx=4),19&lt;=smp_act_horizon_n),CHOOSE(smp_act_scn_idx,(AW191+AW192+AW193+AW194+AW195),(BX191+BX192+BX193+BX194+BX195),(CY191+CY192+CY193+CY194+CY195)),"")</f>
        <v>230217.68000000002</v>
      </c>
      <c r="V59" s="62">
        <f>IF(AND(OR(smp_act_view_idx=1,smp_act_view_idx=4),20&lt;=smp_act_horizon_n),CHOOSE(smp_act_scn_idx,(AX191+AX192+AX193+AX194+AX195),(BY191+BY192+BY193+BY194+BY195),(CZ191+CZ192+CZ193+CZ194+CZ195)),"")</f>
        <v>229991.30000000002</v>
      </c>
      <c r="W59" s="62">
        <f>IF(AND(OR(smp_act_view_idx=1,smp_act_view_idx=4),21&lt;=smp_act_horizon_n),CHOOSE(smp_act_scn_idx,(AY191+AY192+AY193+AY194+AY195),(BZ191+BZ192+BZ193+BZ194+BZ195),(DA191+DA192+DA193+DA194+DA195)),"")</f>
        <v>234842.30000000002</v>
      </c>
      <c r="X59" s="62">
        <f>IF(AND(OR(smp_act_view_idx=1,smp_act_view_idx=4),22&lt;=smp_act_horizon_n),CHOOSE(smp_act_scn_idx,(AZ191+AZ192+AZ193+AZ194+AZ195),(CA191+CA192+CA193+CA194+CA195),(DB191+DB192+DB193+DB194+DB195)),"")</f>
        <v>239693.30000000002</v>
      </c>
      <c r="Y59" s="62">
        <f>IF(AND(OR(smp_act_view_idx=1,smp_act_view_idx=4),23&lt;=smp_act_horizon_n),CHOOSE(smp_act_scn_idx,(BA191+BA192+BA193+BA194+BA195),(CB191+CB192+CB193+CB194+CB195),(DC191+DC192+DC193+DC194+DC195)),"")</f>
        <v>242118.80000000002</v>
      </c>
      <c r="Z59" s="62">
        <f>IF(AND(OR(smp_act_view_idx=1,smp_act_view_idx=4),24&lt;=smp_act_horizon_n),CHOOSE(smp_act_scn_idx,(BB191+BB192+BB193+BB194+BB195),(CC191+CC192+CC193+CC194+CC195),(DD191+DD192+DD193+DD194+DD195)),"")</f>
        <v>239693.30000000002</v>
      </c>
      <c r="AA59" s="1"/>
      <c r="AB59" s="63">
        <f>IF(OR(smp_act_view_idx=1,smp_act_view_idx=4),CHOOSE(smp_act_scn_idx,(BC191+BC192+BC193+BC194+BC195),(CD191+CD192+CD193+CD194+CD195),(DE191+DE192+DE193+DE194+DE195)),"")</f>
        <v>2324038.64</v>
      </c>
      <c r="AC59" s="63">
        <f>IF(AND(OR(smp_act_view_idx=1,smp_act_view_idx=4),smp_act_horizon_n&gt;=24),CHOOSE(smp_act_scn_idx,(BD191+BD192+BD193+BD194+BD195),(CE191+CE192+CE193+CE194+CE195),(DF191+DF192+DF193+DF194+DF195)),"")</f>
        <v>2764369.3000000007</v>
      </c>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c r="DH59"/>
    </row>
    <row r="60" spans="1:112" ht="20" customHeight="1" x14ac:dyDescent="0.2">
      <c r="A60" s="1"/>
      <c r="B60" s="22" t="str">
        <f>IF(OR(smp_act_view_idx=1,smp_act_view_idx=4),"   Contractors / freelance","")</f>
        <v xml:space="preserve">   Contractors / freelance</v>
      </c>
      <c r="C60" s="62">
        <f t="shared" ref="C60:C66" si="27">IF(AND(OR(smp_act_view_idx=1,smp_act_view_idx=4),1&lt;=smp_act_horizon_n),CHOOSE(smp_act_scn_idx,AE196,BF196,CG196),"")</f>
        <v>14700</v>
      </c>
      <c r="D60" s="62">
        <f t="shared" ref="D60:D66" si="28">IF(AND(OR(smp_act_view_idx=1,smp_act_view_idx=4),2&lt;=smp_act_horizon_n),CHOOSE(smp_act_scn_idx,AF196,BG196,CH196),"")</f>
        <v>14700</v>
      </c>
      <c r="E60" s="62">
        <f t="shared" ref="E60:E66" si="29">IF(AND(OR(smp_act_view_idx=1,smp_act_view_idx=4),3&lt;=smp_act_horizon_n),CHOOSE(smp_act_scn_idx,AG196,BH196,CI196),"")</f>
        <v>14700</v>
      </c>
      <c r="F60" s="62">
        <f t="shared" ref="F60:F66" si="30">IF(AND(OR(smp_act_view_idx=1,smp_act_view_idx=4),4&lt;=smp_act_horizon_n),CHOOSE(smp_act_scn_idx,AH196,BI196,CJ196),"")</f>
        <v>14700</v>
      </c>
      <c r="G60" s="62">
        <f t="shared" ref="G60:G66" si="31">IF(AND(OR(smp_act_view_idx=1,smp_act_view_idx=4),5&lt;=smp_act_horizon_n),CHOOSE(smp_act_scn_idx,AI196,BJ196,CK196),"")</f>
        <v>14700</v>
      </c>
      <c r="H60" s="62">
        <f t="shared" ref="H60:H66" si="32">IF(AND(OR(smp_act_view_idx=1,smp_act_view_idx=4),6&lt;=smp_act_horizon_n),CHOOSE(smp_act_scn_idx,AJ196,BK196,CL196),"")</f>
        <v>14700</v>
      </c>
      <c r="I60" s="62">
        <f t="shared" ref="I60:I66" si="33">IF(AND(OR(smp_act_view_idx=1,smp_act_view_idx=4),7&lt;=smp_act_horizon_n),CHOOSE(smp_act_scn_idx,AK196,BL196,CM196),"")</f>
        <v>14700</v>
      </c>
      <c r="J60" s="62">
        <f t="shared" ref="J60:J66" si="34">IF(AND(OR(smp_act_view_idx=1,smp_act_view_idx=4),8&lt;=smp_act_horizon_n),CHOOSE(smp_act_scn_idx,AL196,BM196,CN196),"")</f>
        <v>14700</v>
      </c>
      <c r="K60" s="62">
        <f t="shared" ref="K60:K66" si="35">IF(AND(OR(smp_act_view_idx=1,smp_act_view_idx=4),9&lt;=smp_act_horizon_n),CHOOSE(smp_act_scn_idx,AM196,BN196,CO196),"")</f>
        <v>14700</v>
      </c>
      <c r="L60" s="62">
        <f t="shared" ref="L60:L66" si="36">IF(AND(OR(smp_act_view_idx=1,smp_act_view_idx=4),10&lt;=smp_act_horizon_n),CHOOSE(smp_act_scn_idx,AN196,BO196,CP196),"")</f>
        <v>14700</v>
      </c>
      <c r="M60" s="62">
        <f t="shared" ref="M60:M66" si="37">IF(AND(OR(smp_act_view_idx=1,smp_act_view_idx=4),11&lt;=smp_act_horizon_n),CHOOSE(smp_act_scn_idx,AO196,BP196,CQ196),"")</f>
        <v>14700</v>
      </c>
      <c r="N60" s="62">
        <f t="shared" ref="N60:N66" si="38">IF(AND(OR(smp_act_view_idx=1,smp_act_view_idx=4),12&lt;=smp_act_horizon_n),CHOOSE(smp_act_scn_idx,AP196,BQ196,CR196),"")</f>
        <v>14700</v>
      </c>
      <c r="O60" s="62">
        <f t="shared" ref="O60:O66" si="39">IF(AND(OR(smp_act_view_idx=1,smp_act_view_idx=4),13&lt;=smp_act_horizon_n),CHOOSE(smp_act_scn_idx,AQ196,BR196,CS196),"")</f>
        <v>14700</v>
      </c>
      <c r="P60" s="62">
        <f t="shared" ref="P60:P66" si="40">IF(AND(OR(smp_act_view_idx=1,smp_act_view_idx=4),14&lt;=smp_act_horizon_n),CHOOSE(smp_act_scn_idx,AR196,BS196,CT196),"")</f>
        <v>14700</v>
      </c>
      <c r="Q60" s="62">
        <f t="shared" ref="Q60:Q66" si="41">IF(AND(OR(smp_act_view_idx=1,smp_act_view_idx=4),15&lt;=smp_act_horizon_n),CHOOSE(smp_act_scn_idx,AS196,BT196,CU196),"")</f>
        <v>14700</v>
      </c>
      <c r="R60" s="62">
        <f t="shared" ref="R60:R66" si="42">IF(AND(OR(smp_act_view_idx=1,smp_act_view_idx=4),16&lt;=smp_act_horizon_n),CHOOSE(smp_act_scn_idx,AT196,BU196,CV196),"")</f>
        <v>14700</v>
      </c>
      <c r="S60" s="62">
        <f t="shared" ref="S60:S66" si="43">IF(AND(OR(smp_act_view_idx=1,smp_act_view_idx=4),17&lt;=smp_act_horizon_n),CHOOSE(smp_act_scn_idx,AU196,BV196,CW196),"")</f>
        <v>14700</v>
      </c>
      <c r="T60" s="62">
        <f t="shared" ref="T60:T66" si="44">IF(AND(OR(smp_act_view_idx=1,smp_act_view_idx=4),18&lt;=smp_act_horizon_n),CHOOSE(smp_act_scn_idx,AV196,BW196,CX196),"")</f>
        <v>14700</v>
      </c>
      <c r="U60" s="62">
        <f t="shared" ref="U60:U66" si="45">IF(AND(OR(smp_act_view_idx=1,smp_act_view_idx=4),19&lt;=smp_act_horizon_n),CHOOSE(smp_act_scn_idx,AW196,BX196,CY196),"")</f>
        <v>14700</v>
      </c>
      <c r="V60" s="62">
        <f t="shared" ref="V60:V66" si="46">IF(AND(OR(smp_act_view_idx=1,smp_act_view_idx=4),20&lt;=smp_act_horizon_n),CHOOSE(smp_act_scn_idx,AX196,BY196,CZ196),"")</f>
        <v>14700</v>
      </c>
      <c r="W60" s="62">
        <f t="shared" ref="W60:W66" si="47">IF(AND(OR(smp_act_view_idx=1,smp_act_view_idx=4),21&lt;=smp_act_horizon_n),CHOOSE(smp_act_scn_idx,AY196,BZ196,DA196),"")</f>
        <v>14700</v>
      </c>
      <c r="X60" s="62">
        <f t="shared" ref="X60:X66" si="48">IF(AND(OR(smp_act_view_idx=1,smp_act_view_idx=4),22&lt;=smp_act_horizon_n),CHOOSE(smp_act_scn_idx,AZ196,CA196,DB196),"")</f>
        <v>14700</v>
      </c>
      <c r="Y60" s="62">
        <f t="shared" ref="Y60:Y66" si="49">IF(AND(OR(smp_act_view_idx=1,smp_act_view_idx=4),23&lt;=smp_act_horizon_n),CHOOSE(smp_act_scn_idx,BA196,CB196,DC196),"")</f>
        <v>14700</v>
      </c>
      <c r="Z60" s="62">
        <f t="shared" ref="Z60:Z66" si="50">IF(AND(OR(smp_act_view_idx=1,smp_act_view_idx=4),24&lt;=smp_act_horizon_n),CHOOSE(smp_act_scn_idx,BB196,CC196,DD196),"")</f>
        <v>14700</v>
      </c>
      <c r="AA60" s="1"/>
      <c r="AB60" s="63">
        <f t="shared" ref="AB60:AB66" si="51">IF(OR(smp_act_view_idx=1,smp_act_view_idx=4),CHOOSE(smp_act_scn_idx,BC196,CD196,DE196),"")</f>
        <v>176400</v>
      </c>
      <c r="AC60" s="63">
        <f t="shared" ref="AC60:AC66" si="52">IF(AND(OR(smp_act_view_idx=1,smp_act_view_idx=4),smp_act_horizon_n&gt;=24),CHOOSE(smp_act_scn_idx,BD196,CE196,DF196),"")</f>
        <v>176400</v>
      </c>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c r="DH60"/>
    </row>
    <row r="61" spans="1:112" ht="20" customHeight="1" x14ac:dyDescent="0.2">
      <c r="A61" s="1"/>
      <c r="B61" s="22" t="str">
        <f>IF(OR(smp_act_view_idx=1,smp_act_view_idx=4),"   Production tools / licenses","")</f>
        <v xml:space="preserve">   Production tools / licenses</v>
      </c>
      <c r="C61" s="62">
        <f t="shared" si="27"/>
        <v>3920</v>
      </c>
      <c r="D61" s="62">
        <f t="shared" si="28"/>
        <v>3920</v>
      </c>
      <c r="E61" s="62">
        <f t="shared" si="29"/>
        <v>3920</v>
      </c>
      <c r="F61" s="62">
        <f t="shared" si="30"/>
        <v>3920</v>
      </c>
      <c r="G61" s="62">
        <f t="shared" si="31"/>
        <v>3920</v>
      </c>
      <c r="H61" s="62">
        <f t="shared" si="32"/>
        <v>3920</v>
      </c>
      <c r="I61" s="62">
        <f t="shared" si="33"/>
        <v>3920</v>
      </c>
      <c r="J61" s="62">
        <f t="shared" si="34"/>
        <v>3920</v>
      </c>
      <c r="K61" s="62">
        <f t="shared" si="35"/>
        <v>3920</v>
      </c>
      <c r="L61" s="62">
        <f t="shared" si="36"/>
        <v>3920</v>
      </c>
      <c r="M61" s="62">
        <f t="shared" si="37"/>
        <v>3920</v>
      </c>
      <c r="N61" s="62">
        <f t="shared" si="38"/>
        <v>3920</v>
      </c>
      <c r="O61" s="62">
        <f t="shared" si="39"/>
        <v>3920</v>
      </c>
      <c r="P61" s="62">
        <f t="shared" si="40"/>
        <v>3920</v>
      </c>
      <c r="Q61" s="62">
        <f t="shared" si="41"/>
        <v>3920</v>
      </c>
      <c r="R61" s="62">
        <f t="shared" si="42"/>
        <v>3920</v>
      </c>
      <c r="S61" s="62">
        <f t="shared" si="43"/>
        <v>3920</v>
      </c>
      <c r="T61" s="62">
        <f t="shared" si="44"/>
        <v>3920</v>
      </c>
      <c r="U61" s="62">
        <f t="shared" si="45"/>
        <v>3920</v>
      </c>
      <c r="V61" s="62">
        <f t="shared" si="46"/>
        <v>3920</v>
      </c>
      <c r="W61" s="62">
        <f t="shared" si="47"/>
        <v>3920</v>
      </c>
      <c r="X61" s="62">
        <f t="shared" si="48"/>
        <v>3920</v>
      </c>
      <c r="Y61" s="62">
        <f t="shared" si="49"/>
        <v>3920</v>
      </c>
      <c r="Z61" s="62">
        <f t="shared" si="50"/>
        <v>3920</v>
      </c>
      <c r="AA61" s="1"/>
      <c r="AB61" s="63">
        <f t="shared" si="51"/>
        <v>47040</v>
      </c>
      <c r="AC61" s="63">
        <f t="shared" si="52"/>
        <v>47040</v>
      </c>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c r="DH61"/>
    </row>
    <row r="62" spans="1:112" ht="20" customHeight="1" x14ac:dyDescent="0.2">
      <c r="A62" s="1"/>
      <c r="B62" s="22" t="str">
        <f>IF(OR(smp_act_view_idx=1,smp_act_view_idx=4),"   Pass-through media","")</f>
        <v xml:space="preserve">   Pass-through media</v>
      </c>
      <c r="C62" s="62">
        <f t="shared" si="27"/>
        <v>11760</v>
      </c>
      <c r="D62" s="62">
        <f t="shared" si="28"/>
        <v>11760</v>
      </c>
      <c r="E62" s="62">
        <f t="shared" si="29"/>
        <v>11760</v>
      </c>
      <c r="F62" s="62">
        <f t="shared" si="30"/>
        <v>11760</v>
      </c>
      <c r="G62" s="62">
        <f t="shared" si="31"/>
        <v>11760</v>
      </c>
      <c r="H62" s="62">
        <f t="shared" si="32"/>
        <v>11760</v>
      </c>
      <c r="I62" s="62">
        <f t="shared" si="33"/>
        <v>11760</v>
      </c>
      <c r="J62" s="62">
        <f t="shared" si="34"/>
        <v>11760</v>
      </c>
      <c r="K62" s="62">
        <f t="shared" si="35"/>
        <v>11760</v>
      </c>
      <c r="L62" s="62">
        <f t="shared" si="36"/>
        <v>11760</v>
      </c>
      <c r="M62" s="62">
        <f t="shared" si="37"/>
        <v>11760</v>
      </c>
      <c r="N62" s="62">
        <f t="shared" si="38"/>
        <v>11760</v>
      </c>
      <c r="O62" s="62">
        <f t="shared" si="39"/>
        <v>11760</v>
      </c>
      <c r="P62" s="62">
        <f t="shared" si="40"/>
        <v>11760</v>
      </c>
      <c r="Q62" s="62">
        <f t="shared" si="41"/>
        <v>11760</v>
      </c>
      <c r="R62" s="62">
        <f t="shared" si="42"/>
        <v>11760</v>
      </c>
      <c r="S62" s="62">
        <f t="shared" si="43"/>
        <v>11760</v>
      </c>
      <c r="T62" s="62">
        <f t="shared" si="44"/>
        <v>11760</v>
      </c>
      <c r="U62" s="62">
        <f t="shared" si="45"/>
        <v>11760</v>
      </c>
      <c r="V62" s="62">
        <f t="shared" si="46"/>
        <v>11760</v>
      </c>
      <c r="W62" s="62">
        <f t="shared" si="47"/>
        <v>11760</v>
      </c>
      <c r="X62" s="62">
        <f t="shared" si="48"/>
        <v>11760</v>
      </c>
      <c r="Y62" s="62">
        <f t="shared" si="49"/>
        <v>11760</v>
      </c>
      <c r="Z62" s="62">
        <f t="shared" si="50"/>
        <v>11760</v>
      </c>
      <c r="AA62" s="1"/>
      <c r="AB62" s="63">
        <f t="shared" si="51"/>
        <v>141120</v>
      </c>
      <c r="AC62" s="63">
        <f t="shared" si="52"/>
        <v>141120</v>
      </c>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c r="DH62"/>
    </row>
    <row r="63" spans="1:112" ht="20" customHeight="1" x14ac:dyDescent="0.2">
      <c r="A63" s="1"/>
      <c r="B63" s="22" t="str">
        <f>IF(OR(smp_act_view_idx=1,smp_act_view_idx=4),"   Other direct cost","")</f>
        <v xml:space="preserve">   Other direct cost</v>
      </c>
      <c r="C63" s="62">
        <f t="shared" si="27"/>
        <v>2450</v>
      </c>
      <c r="D63" s="62">
        <f t="shared" si="28"/>
        <v>2450</v>
      </c>
      <c r="E63" s="62">
        <f t="shared" si="29"/>
        <v>2450</v>
      </c>
      <c r="F63" s="62">
        <f t="shared" si="30"/>
        <v>2450</v>
      </c>
      <c r="G63" s="62">
        <f t="shared" si="31"/>
        <v>2450</v>
      </c>
      <c r="H63" s="62">
        <f t="shared" si="32"/>
        <v>2450</v>
      </c>
      <c r="I63" s="62">
        <f t="shared" si="33"/>
        <v>2450</v>
      </c>
      <c r="J63" s="62">
        <f t="shared" si="34"/>
        <v>2450</v>
      </c>
      <c r="K63" s="62">
        <f t="shared" si="35"/>
        <v>2450</v>
      </c>
      <c r="L63" s="62">
        <f t="shared" si="36"/>
        <v>2450</v>
      </c>
      <c r="M63" s="62">
        <f t="shared" si="37"/>
        <v>2450</v>
      </c>
      <c r="N63" s="62">
        <f t="shared" si="38"/>
        <v>2450</v>
      </c>
      <c r="O63" s="62">
        <f t="shared" si="39"/>
        <v>2450</v>
      </c>
      <c r="P63" s="62">
        <f t="shared" si="40"/>
        <v>2450</v>
      </c>
      <c r="Q63" s="62">
        <f t="shared" si="41"/>
        <v>2450</v>
      </c>
      <c r="R63" s="62">
        <f t="shared" si="42"/>
        <v>2450</v>
      </c>
      <c r="S63" s="62">
        <f t="shared" si="43"/>
        <v>2450</v>
      </c>
      <c r="T63" s="62">
        <f t="shared" si="44"/>
        <v>2450</v>
      </c>
      <c r="U63" s="62">
        <f t="shared" si="45"/>
        <v>2450</v>
      </c>
      <c r="V63" s="62">
        <f t="shared" si="46"/>
        <v>2450</v>
      </c>
      <c r="W63" s="62">
        <f t="shared" si="47"/>
        <v>2450</v>
      </c>
      <c r="X63" s="62">
        <f t="shared" si="48"/>
        <v>2450</v>
      </c>
      <c r="Y63" s="62">
        <f t="shared" si="49"/>
        <v>2450</v>
      </c>
      <c r="Z63" s="62">
        <f t="shared" si="50"/>
        <v>2450</v>
      </c>
      <c r="AA63" s="1"/>
      <c r="AB63" s="63">
        <f t="shared" si="51"/>
        <v>29400</v>
      </c>
      <c r="AC63" s="63">
        <f t="shared" si="52"/>
        <v>29400</v>
      </c>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c r="DH63"/>
    </row>
    <row r="64" spans="1:112" ht="20" customHeight="1" x14ac:dyDescent="0.2">
      <c r="A64" s="1"/>
      <c r="B64" s="64" t="str">
        <f>IF(OR(smp_act_view_idx=1,smp_act_view_idx=4),"Total direct cost","")</f>
        <v>Total direct cost</v>
      </c>
      <c r="C64" s="65">
        <f t="shared" si="27"/>
        <v>203531.30000000002</v>
      </c>
      <c r="D64" s="65">
        <f t="shared" si="28"/>
        <v>210107.1</v>
      </c>
      <c r="E64" s="65">
        <f t="shared" si="29"/>
        <v>217459.06000000003</v>
      </c>
      <c r="F64" s="65">
        <f t="shared" si="30"/>
        <v>224509.18000000002</v>
      </c>
      <c r="G64" s="65">
        <f t="shared" si="31"/>
        <v>231214.34000000003</v>
      </c>
      <c r="H64" s="65">
        <f t="shared" si="32"/>
        <v>228174.38000000003</v>
      </c>
      <c r="I64" s="65">
        <f t="shared" si="33"/>
        <v>224789.46</v>
      </c>
      <c r="J64" s="65">
        <f t="shared" si="34"/>
        <v>224218.12000000002</v>
      </c>
      <c r="K64" s="65">
        <f t="shared" si="35"/>
        <v>231268.24000000002</v>
      </c>
      <c r="L64" s="65">
        <f t="shared" si="36"/>
        <v>237930.28000000003</v>
      </c>
      <c r="M64" s="65">
        <f t="shared" si="37"/>
        <v>242511.78000000003</v>
      </c>
      <c r="N64" s="65">
        <f t="shared" si="38"/>
        <v>242285.40000000002</v>
      </c>
      <c r="O64" s="65">
        <f t="shared" si="39"/>
        <v>243083.12000000002</v>
      </c>
      <c r="P64" s="65">
        <f t="shared" si="40"/>
        <v>249400.2</v>
      </c>
      <c r="Q64" s="65">
        <f t="shared" si="41"/>
        <v>255717.28000000003</v>
      </c>
      <c r="R64" s="65">
        <f t="shared" si="42"/>
        <v>262767.40000000002</v>
      </c>
      <c r="S64" s="65">
        <f t="shared" si="43"/>
        <v>267392.02</v>
      </c>
      <c r="T64" s="65">
        <f t="shared" si="44"/>
        <v>266432.60000000003</v>
      </c>
      <c r="U64" s="65">
        <f t="shared" si="45"/>
        <v>263047.68000000005</v>
      </c>
      <c r="V64" s="65">
        <f t="shared" si="46"/>
        <v>262821.30000000005</v>
      </c>
      <c r="W64" s="65">
        <f t="shared" si="47"/>
        <v>267672.30000000005</v>
      </c>
      <c r="X64" s="65">
        <f t="shared" si="48"/>
        <v>272523.30000000005</v>
      </c>
      <c r="Y64" s="65">
        <f t="shared" si="49"/>
        <v>274948.80000000005</v>
      </c>
      <c r="Z64" s="65">
        <f t="shared" si="50"/>
        <v>272523.30000000005</v>
      </c>
      <c r="AA64" s="1"/>
      <c r="AB64" s="65">
        <f t="shared" si="51"/>
        <v>2717998.64</v>
      </c>
      <c r="AC64" s="65">
        <f t="shared" si="52"/>
        <v>3158329.3</v>
      </c>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c r="DH64"/>
    </row>
    <row r="65" spans="1:112" ht="20" customHeight="1" x14ac:dyDescent="0.2">
      <c r="A65" s="1"/>
      <c r="B65" s="66" t="str">
        <f>IF(OR(smp_act_view_idx=1,smp_act_view_idx=4),"GROSS PROFIT","")</f>
        <v>GROSS PROFIT</v>
      </c>
      <c r="C65" s="67">
        <f t="shared" si="27"/>
        <v>192468.69999999998</v>
      </c>
      <c r="D65" s="67">
        <f t="shared" si="28"/>
        <v>202392.9</v>
      </c>
      <c r="E65" s="67">
        <f t="shared" si="29"/>
        <v>213740.93999999997</v>
      </c>
      <c r="F65" s="67">
        <f t="shared" si="30"/>
        <v>224290.82000000004</v>
      </c>
      <c r="G65" s="67">
        <f t="shared" si="31"/>
        <v>234085.66000000003</v>
      </c>
      <c r="H65" s="67">
        <f t="shared" si="32"/>
        <v>231625.62000000002</v>
      </c>
      <c r="I65" s="67">
        <f t="shared" si="33"/>
        <v>228410.54</v>
      </c>
      <c r="J65" s="67">
        <f t="shared" si="34"/>
        <v>228981.87999999998</v>
      </c>
      <c r="K65" s="67">
        <f t="shared" si="35"/>
        <v>239531.76000000004</v>
      </c>
      <c r="L65" s="67">
        <f t="shared" si="36"/>
        <v>249369.72000000003</v>
      </c>
      <c r="M65" s="67">
        <f t="shared" si="37"/>
        <v>256888.22000000003</v>
      </c>
      <c r="N65" s="67">
        <f t="shared" si="38"/>
        <v>258214.60000000003</v>
      </c>
      <c r="O65" s="67">
        <f t="shared" si="39"/>
        <v>258516.88000000003</v>
      </c>
      <c r="P65" s="67">
        <f t="shared" si="40"/>
        <v>267599.8</v>
      </c>
      <c r="Q65" s="67">
        <f t="shared" si="41"/>
        <v>276682.71999999997</v>
      </c>
      <c r="R65" s="67">
        <f t="shared" si="42"/>
        <v>287232.59999999998</v>
      </c>
      <c r="S65" s="67">
        <f t="shared" si="43"/>
        <v>294707.98</v>
      </c>
      <c r="T65" s="67">
        <f t="shared" si="44"/>
        <v>294567.39999999997</v>
      </c>
      <c r="U65" s="67">
        <f t="shared" si="45"/>
        <v>291352.31999999995</v>
      </c>
      <c r="V65" s="67">
        <f t="shared" si="46"/>
        <v>292678.69999999995</v>
      </c>
      <c r="W65" s="67">
        <f t="shared" si="47"/>
        <v>298827.69999999995</v>
      </c>
      <c r="X65" s="67">
        <f t="shared" si="48"/>
        <v>304976.69999999995</v>
      </c>
      <c r="Y65" s="67">
        <f t="shared" si="49"/>
        <v>308051.19999999995</v>
      </c>
      <c r="Z65" s="67">
        <f t="shared" si="50"/>
        <v>304976.69999999995</v>
      </c>
      <c r="AA65" s="1"/>
      <c r="AB65" s="67">
        <f t="shared" si="51"/>
        <v>2760001.3600000003</v>
      </c>
      <c r="AC65" s="67">
        <f t="shared" si="52"/>
        <v>3480170.7</v>
      </c>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c r="DH65"/>
    </row>
    <row r="66" spans="1:112" ht="20" customHeight="1" x14ac:dyDescent="0.2">
      <c r="A66" s="1"/>
      <c r="B66" s="23" t="str">
        <f>IF(OR(smp_act_view_idx=1,smp_act_view_idx=4),"   Gross margin %","")</f>
        <v xml:space="preserve">   Gross margin %</v>
      </c>
      <c r="C66" s="68">
        <f t="shared" si="27"/>
        <v>0.48603207070707066</v>
      </c>
      <c r="D66" s="68">
        <f t="shared" si="28"/>
        <v>0.49064945454545456</v>
      </c>
      <c r="E66" s="68">
        <f t="shared" si="29"/>
        <v>0.4956886363636363</v>
      </c>
      <c r="F66" s="68">
        <f t="shared" si="30"/>
        <v>0.49975672905525848</v>
      </c>
      <c r="G66" s="68">
        <f t="shared" si="31"/>
        <v>0.50308545024715234</v>
      </c>
      <c r="H66" s="68">
        <f t="shared" si="32"/>
        <v>0.50375297955632881</v>
      </c>
      <c r="I66" s="68">
        <f t="shared" si="33"/>
        <v>0.50399501323918805</v>
      </c>
      <c r="J66" s="68">
        <f t="shared" si="34"/>
        <v>0.50525569285083838</v>
      </c>
      <c r="K66" s="68">
        <f t="shared" si="35"/>
        <v>0.50877604078164829</v>
      </c>
      <c r="L66" s="68">
        <f t="shared" si="36"/>
        <v>0.51173757438949308</v>
      </c>
      <c r="M66" s="68">
        <f t="shared" si="37"/>
        <v>0.51439371245494592</v>
      </c>
      <c r="N66" s="68">
        <f t="shared" si="38"/>
        <v>0.51591328671328673</v>
      </c>
      <c r="O66" s="68">
        <f t="shared" si="39"/>
        <v>0.51538452950558211</v>
      </c>
      <c r="P66" s="68">
        <f t="shared" si="40"/>
        <v>0.517601160541586</v>
      </c>
      <c r="Q66" s="68">
        <f t="shared" si="41"/>
        <v>0.51968955672426742</v>
      </c>
      <c r="R66" s="68">
        <f t="shared" si="42"/>
        <v>0.52224109090909088</v>
      </c>
      <c r="S66" s="68">
        <f t="shared" si="43"/>
        <v>0.52429813200498132</v>
      </c>
      <c r="T66" s="68">
        <f t="shared" si="44"/>
        <v>0.52507557932263804</v>
      </c>
      <c r="U66" s="68">
        <f t="shared" si="45"/>
        <v>0.52552727272727262</v>
      </c>
      <c r="V66" s="68">
        <f t="shared" si="46"/>
        <v>0.52687434743474337</v>
      </c>
      <c r="W66" s="68">
        <f t="shared" si="47"/>
        <v>0.52749814651368043</v>
      </c>
      <c r="X66" s="68">
        <f t="shared" si="48"/>
        <v>0.52809818181818169</v>
      </c>
      <c r="Y66" s="68">
        <f t="shared" si="49"/>
        <v>0.5283897084048027</v>
      </c>
      <c r="Z66" s="68">
        <f t="shared" si="50"/>
        <v>0.52809818181818169</v>
      </c>
      <c r="AA66" s="1"/>
      <c r="AB66" s="68">
        <f t="shared" si="51"/>
        <v>0.50383376414749914</v>
      </c>
      <c r="AC66" s="68">
        <f t="shared" si="52"/>
        <v>0.52424052120207876</v>
      </c>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c r="DH66"/>
    </row>
    <row r="67" spans="1:112" ht="20" customHeight="1" x14ac:dyDescent="0.2">
      <c r="A67" s="1"/>
      <c r="B67" s="61" t="str">
        <f>IF(OR(smp_act_view_idx=1,smp_act_view_idx=4),"OPERATING EXPENSES","")</f>
        <v>OPERATING EXPENSES</v>
      </c>
      <c r="C67" s="2"/>
      <c r="D67" s="2"/>
      <c r="E67" s="2"/>
      <c r="F67" s="2"/>
      <c r="G67" s="2"/>
      <c r="H67" s="2"/>
      <c r="I67" s="2"/>
      <c r="J67" s="2"/>
      <c r="K67" s="2"/>
      <c r="L67" s="2"/>
      <c r="M67" s="2"/>
      <c r="N67" s="2"/>
      <c r="O67" s="2"/>
      <c r="P67" s="2"/>
      <c r="Q67" s="2"/>
      <c r="R67" s="2"/>
      <c r="S67" s="2"/>
      <c r="T67" s="2"/>
      <c r="U67" s="2"/>
      <c r="V67" s="2"/>
      <c r="W67" s="2"/>
      <c r="X67" s="2"/>
      <c r="Y67" s="2"/>
      <c r="Z67" s="2"/>
      <c r="AA67" s="1"/>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c r="DH67"/>
    </row>
    <row r="68" spans="1:112" ht="20" customHeight="1" x14ac:dyDescent="0.2">
      <c r="A68" s="1"/>
      <c r="B68" s="22" t="str">
        <f>IF(OR(smp_act_view_idx=1,smp_act_view_idx=4),"   Overhead payroll","")</f>
        <v xml:space="preserve">   Overhead payroll</v>
      </c>
      <c r="C68" s="62">
        <f>IF(AND(OR(smp_act_view_idx=1,smp_act_view_idx=4),1&lt;=smp_act_horizon_n),CHOOSE(smp_act_scn_idx,AE203,BF203,CG203),"")</f>
        <v>82891.666666666657</v>
      </c>
      <c r="D68" s="62">
        <f>IF(AND(OR(smp_act_view_idx=1,smp_act_view_idx=4),2&lt;=smp_act_horizon_n),CHOOSE(smp_act_scn_idx,AF203,BG203,CH203),"")</f>
        <v>82891.666666666657</v>
      </c>
      <c r="E68" s="62">
        <f>IF(AND(OR(smp_act_view_idx=1,smp_act_view_idx=4),3&lt;=smp_act_horizon_n),CHOOSE(smp_act_scn_idx,AG203,BH203,CI203),"")</f>
        <v>82891.666666666657</v>
      </c>
      <c r="F68" s="62">
        <f>IF(AND(OR(smp_act_view_idx=1,smp_act_view_idx=4),4&lt;=smp_act_horizon_n),CHOOSE(smp_act_scn_idx,AH203,BI203,CJ203),"")</f>
        <v>82891.666666666657</v>
      </c>
      <c r="G68" s="62">
        <f>IF(AND(OR(smp_act_view_idx=1,smp_act_view_idx=4),5&lt;=smp_act_horizon_n),CHOOSE(smp_act_scn_idx,AI203,BJ203,CK203),"")</f>
        <v>82891.666666666657</v>
      </c>
      <c r="H68" s="62">
        <f>IF(AND(OR(smp_act_view_idx=1,smp_act_view_idx=4),6&lt;=smp_act_horizon_n),CHOOSE(smp_act_scn_idx,AJ203,BK203,CL203),"")</f>
        <v>82891.666666666657</v>
      </c>
      <c r="I68" s="62">
        <f>IF(AND(OR(smp_act_view_idx=1,smp_act_view_idx=4),7&lt;=smp_act_horizon_n),CHOOSE(smp_act_scn_idx,AK203,BL203,CM203),"")</f>
        <v>82891.666666666657</v>
      </c>
      <c r="J68" s="62">
        <f>IF(AND(OR(smp_act_view_idx=1,smp_act_view_idx=4),8&lt;=smp_act_horizon_n),CHOOSE(smp_act_scn_idx,AL203,BM203,CN203),"")</f>
        <v>82891.666666666657</v>
      </c>
      <c r="K68" s="62">
        <f>IF(AND(OR(smp_act_view_idx=1,smp_act_view_idx=4),9&lt;=smp_act_horizon_n),CHOOSE(smp_act_scn_idx,AM203,BN203,CO203),"")</f>
        <v>82891.666666666657</v>
      </c>
      <c r="L68" s="62">
        <f>IF(AND(OR(smp_act_view_idx=1,smp_act_view_idx=4),10&lt;=smp_act_horizon_n),CHOOSE(smp_act_scn_idx,AN203,BO203,CP203),"")</f>
        <v>82891.666666666657</v>
      </c>
      <c r="M68" s="62">
        <f>IF(AND(OR(smp_act_view_idx=1,smp_act_view_idx=4),11&lt;=smp_act_horizon_n),CHOOSE(smp_act_scn_idx,AO203,BP203,CQ203),"")</f>
        <v>82891.666666666657</v>
      </c>
      <c r="N68" s="62">
        <f>IF(AND(OR(smp_act_view_idx=1,smp_act_view_idx=4),12&lt;=smp_act_horizon_n),CHOOSE(smp_act_scn_idx,AP203,BQ203,CR203),"")</f>
        <v>82891.666666666657</v>
      </c>
      <c r="O68" s="62">
        <f>IF(AND(OR(smp_act_view_idx=1,smp_act_view_idx=4),13&lt;=smp_act_horizon_n),CHOOSE(smp_act_scn_idx,AQ203,BR203,CS203),"")</f>
        <v>82891.666666666657</v>
      </c>
      <c r="P68" s="62">
        <f>IF(AND(OR(smp_act_view_idx=1,smp_act_view_idx=4),14&lt;=smp_act_horizon_n),CHOOSE(smp_act_scn_idx,AR203,BS203,CT203),"")</f>
        <v>82891.666666666657</v>
      </c>
      <c r="Q68" s="62">
        <f>IF(AND(OR(smp_act_view_idx=1,smp_act_view_idx=4),15&lt;=smp_act_horizon_n),CHOOSE(smp_act_scn_idx,AS203,BT203,CU203),"")</f>
        <v>82891.666666666657</v>
      </c>
      <c r="R68" s="62">
        <f>IF(AND(OR(smp_act_view_idx=1,smp_act_view_idx=4),16&lt;=smp_act_horizon_n),CHOOSE(smp_act_scn_idx,AT203,BU203,CV203),"")</f>
        <v>82891.666666666657</v>
      </c>
      <c r="S68" s="62">
        <f>IF(AND(OR(smp_act_view_idx=1,smp_act_view_idx=4),17&lt;=smp_act_horizon_n),CHOOSE(smp_act_scn_idx,AU203,BV203,CW203),"")</f>
        <v>82891.666666666657</v>
      </c>
      <c r="T68" s="62">
        <f>IF(AND(OR(smp_act_view_idx=1,smp_act_view_idx=4),18&lt;=smp_act_horizon_n),CHOOSE(smp_act_scn_idx,AV203,BW203,CX203),"")</f>
        <v>82891.666666666657</v>
      </c>
      <c r="U68" s="62">
        <f>IF(AND(OR(smp_act_view_idx=1,smp_act_view_idx=4),19&lt;=smp_act_horizon_n),CHOOSE(smp_act_scn_idx,AW203,BX203,CY203),"")</f>
        <v>82891.666666666657</v>
      </c>
      <c r="V68" s="62">
        <f>IF(AND(OR(smp_act_view_idx=1,smp_act_view_idx=4),20&lt;=smp_act_horizon_n),CHOOSE(smp_act_scn_idx,AX203,BY203,CZ203),"")</f>
        <v>82891.666666666657</v>
      </c>
      <c r="W68" s="62">
        <f>IF(AND(OR(smp_act_view_idx=1,smp_act_view_idx=4),21&lt;=smp_act_horizon_n),CHOOSE(smp_act_scn_idx,AY203,BZ203,DA203),"")</f>
        <v>82891.666666666657</v>
      </c>
      <c r="X68" s="62">
        <f>IF(AND(OR(smp_act_view_idx=1,smp_act_view_idx=4),22&lt;=smp_act_horizon_n),CHOOSE(smp_act_scn_idx,AZ203,CA203,DB203),"")</f>
        <v>82891.666666666657</v>
      </c>
      <c r="Y68" s="62">
        <f>IF(AND(OR(smp_act_view_idx=1,smp_act_view_idx=4),23&lt;=smp_act_horizon_n),CHOOSE(smp_act_scn_idx,BA203,CB203,DC203),"")</f>
        <v>82891.666666666657</v>
      </c>
      <c r="Z68" s="62">
        <f>IF(AND(OR(smp_act_view_idx=1,smp_act_view_idx=4),24&lt;=smp_act_horizon_n),CHOOSE(smp_act_scn_idx,BB203,CC203,DD203),"")</f>
        <v>82891.666666666657</v>
      </c>
      <c r="AA68" s="1"/>
      <c r="AB68" s="63">
        <f>IF(OR(smp_act_view_idx=1,smp_act_view_idx=4),CHOOSE(smp_act_scn_idx,BC203,CD203,DE203),"")</f>
        <v>994699.99999999965</v>
      </c>
      <c r="AC68" s="63">
        <f>IF(AND(OR(smp_act_view_idx=1,smp_act_view_idx=4),smp_act_horizon_n&gt;=24),CHOOSE(smp_act_scn_idx,BD203,CE203,DF203),"")</f>
        <v>994699.99999999965</v>
      </c>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c r="DH68"/>
    </row>
    <row r="69" spans="1:112" ht="20" customHeight="1" x14ac:dyDescent="0.2">
      <c r="A69" s="1"/>
      <c r="B69" s="22" t="str">
        <f>IF(OR(smp_act_view_idx=1,smp_act_view_idx=4),"   Rent / occupancy","")</f>
        <v xml:space="preserve">   Rent / occupancy</v>
      </c>
      <c r="C69" s="62">
        <f>IF(AND(OR(smp_act_view_idx=1,smp_act_view_idx=4),1&lt;=smp_act_horizon_n),CHOOSE(smp_act_scn_idx,AE204,BF204,CG204),"")</f>
        <v>17640</v>
      </c>
      <c r="D69" s="62">
        <f>IF(AND(OR(smp_act_view_idx=1,smp_act_view_idx=4),2&lt;=smp_act_horizon_n),CHOOSE(smp_act_scn_idx,AF204,BG204,CH204),"")</f>
        <v>17640</v>
      </c>
      <c r="E69" s="62">
        <f>IF(AND(OR(smp_act_view_idx=1,smp_act_view_idx=4),3&lt;=smp_act_horizon_n),CHOOSE(smp_act_scn_idx,AG204,BH204,CI204),"")</f>
        <v>17640</v>
      </c>
      <c r="F69" s="62">
        <f>IF(AND(OR(smp_act_view_idx=1,smp_act_view_idx=4),4&lt;=smp_act_horizon_n),CHOOSE(smp_act_scn_idx,AH204,BI204,CJ204),"")</f>
        <v>17640</v>
      </c>
      <c r="G69" s="62">
        <f>IF(AND(OR(smp_act_view_idx=1,smp_act_view_idx=4),5&lt;=smp_act_horizon_n),CHOOSE(smp_act_scn_idx,AI204,BJ204,CK204),"")</f>
        <v>17640</v>
      </c>
      <c r="H69" s="62">
        <f>IF(AND(OR(smp_act_view_idx=1,smp_act_view_idx=4),6&lt;=smp_act_horizon_n),CHOOSE(smp_act_scn_idx,AJ204,BK204,CL204),"")</f>
        <v>17640</v>
      </c>
      <c r="I69" s="62">
        <f>IF(AND(OR(smp_act_view_idx=1,smp_act_view_idx=4),7&lt;=smp_act_horizon_n),CHOOSE(smp_act_scn_idx,AK204,BL204,CM204),"")</f>
        <v>17640</v>
      </c>
      <c r="J69" s="62">
        <f>IF(AND(OR(smp_act_view_idx=1,smp_act_view_idx=4),8&lt;=smp_act_horizon_n),CHOOSE(smp_act_scn_idx,AL204,BM204,CN204),"")</f>
        <v>17640</v>
      </c>
      <c r="K69" s="62">
        <f>IF(AND(OR(smp_act_view_idx=1,smp_act_view_idx=4),9&lt;=smp_act_horizon_n),CHOOSE(smp_act_scn_idx,AM204,BN204,CO204),"")</f>
        <v>17640</v>
      </c>
      <c r="L69" s="62">
        <f>IF(AND(OR(smp_act_view_idx=1,smp_act_view_idx=4),10&lt;=smp_act_horizon_n),CHOOSE(smp_act_scn_idx,AN204,BO204,CP204),"")</f>
        <v>17640</v>
      </c>
      <c r="M69" s="62">
        <f>IF(AND(OR(smp_act_view_idx=1,smp_act_view_idx=4),11&lt;=smp_act_horizon_n),CHOOSE(smp_act_scn_idx,AO204,BP204,CQ204),"")</f>
        <v>17640</v>
      </c>
      <c r="N69" s="62">
        <f>IF(AND(OR(smp_act_view_idx=1,smp_act_view_idx=4),12&lt;=smp_act_horizon_n),CHOOSE(smp_act_scn_idx,AP204,BQ204,CR204),"")</f>
        <v>17640</v>
      </c>
      <c r="O69" s="62">
        <f>IF(AND(OR(smp_act_view_idx=1,smp_act_view_idx=4),13&lt;=smp_act_horizon_n),CHOOSE(smp_act_scn_idx,AQ204,BR204,CS204),"")</f>
        <v>17640</v>
      </c>
      <c r="P69" s="62">
        <f>IF(AND(OR(smp_act_view_idx=1,smp_act_view_idx=4),14&lt;=smp_act_horizon_n),CHOOSE(smp_act_scn_idx,AR204,BS204,CT204),"")</f>
        <v>17640</v>
      </c>
      <c r="Q69" s="62">
        <f>IF(AND(OR(smp_act_view_idx=1,smp_act_view_idx=4),15&lt;=smp_act_horizon_n),CHOOSE(smp_act_scn_idx,AS204,BT204,CU204),"")</f>
        <v>17640</v>
      </c>
      <c r="R69" s="62">
        <f>IF(AND(OR(smp_act_view_idx=1,smp_act_view_idx=4),16&lt;=smp_act_horizon_n),CHOOSE(smp_act_scn_idx,AT204,BU204,CV204),"")</f>
        <v>17640</v>
      </c>
      <c r="S69" s="62">
        <f>IF(AND(OR(smp_act_view_idx=1,smp_act_view_idx=4),17&lt;=smp_act_horizon_n),CHOOSE(smp_act_scn_idx,AU204,BV204,CW204),"")</f>
        <v>17640</v>
      </c>
      <c r="T69" s="62">
        <f>IF(AND(OR(smp_act_view_idx=1,smp_act_view_idx=4),18&lt;=smp_act_horizon_n),CHOOSE(smp_act_scn_idx,AV204,BW204,CX204),"")</f>
        <v>17640</v>
      </c>
      <c r="U69" s="62">
        <f>IF(AND(OR(smp_act_view_idx=1,smp_act_view_idx=4),19&lt;=smp_act_horizon_n),CHOOSE(smp_act_scn_idx,AW204,BX204,CY204),"")</f>
        <v>17640</v>
      </c>
      <c r="V69" s="62">
        <f>IF(AND(OR(smp_act_view_idx=1,smp_act_view_idx=4),20&lt;=smp_act_horizon_n),CHOOSE(smp_act_scn_idx,AX204,BY204,CZ204),"")</f>
        <v>17640</v>
      </c>
      <c r="W69" s="62">
        <f>IF(AND(OR(smp_act_view_idx=1,smp_act_view_idx=4),21&lt;=smp_act_horizon_n),CHOOSE(smp_act_scn_idx,AY204,BZ204,DA204),"")</f>
        <v>17640</v>
      </c>
      <c r="X69" s="62">
        <f>IF(AND(OR(smp_act_view_idx=1,smp_act_view_idx=4),22&lt;=smp_act_horizon_n),CHOOSE(smp_act_scn_idx,AZ204,CA204,DB204),"")</f>
        <v>17640</v>
      </c>
      <c r="Y69" s="62">
        <f>IF(AND(OR(smp_act_view_idx=1,smp_act_view_idx=4),23&lt;=smp_act_horizon_n),CHOOSE(smp_act_scn_idx,BA204,CB204,DC204),"")</f>
        <v>17640</v>
      </c>
      <c r="Z69" s="62">
        <f>IF(AND(OR(smp_act_view_idx=1,smp_act_view_idx=4),24&lt;=smp_act_horizon_n),CHOOSE(smp_act_scn_idx,BB204,CC204,DD204),"")</f>
        <v>17640</v>
      </c>
      <c r="AA69" s="1"/>
      <c r="AB69" s="63">
        <f>IF(OR(smp_act_view_idx=1,smp_act_view_idx=4),CHOOSE(smp_act_scn_idx,BC204,CD204,DE204),"")</f>
        <v>211680</v>
      </c>
      <c r="AC69" s="63">
        <f>IF(AND(OR(smp_act_view_idx=1,smp_act_view_idx=4),smp_act_horizon_n&gt;=24),CHOOSE(smp_act_scn_idx,BD204,CE204,DF204),"")</f>
        <v>211680</v>
      </c>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c r="DH69"/>
    </row>
    <row r="70" spans="1:112" ht="20" customHeight="1" x14ac:dyDescent="0.2">
      <c r="A70" s="1"/>
      <c r="B70" s="22" t="str">
        <f>IF(OR(smp_act_view_idx=1,smp_act_view_idx=4),"   Software &amp; systems","")</f>
        <v xml:space="preserve">   Software &amp; systems</v>
      </c>
      <c r="C70" s="62">
        <f>IF(AND(OR(smp_act_view_idx=1,smp_act_view_idx=4),1&lt;=smp_act_horizon_n),CHOOSE(smp_act_scn_idx,AE205,BF205,CG205),"")</f>
        <v>7350</v>
      </c>
      <c r="D70" s="62">
        <f>IF(AND(OR(smp_act_view_idx=1,smp_act_view_idx=4),2&lt;=smp_act_horizon_n),CHOOSE(smp_act_scn_idx,AF205,BG205,CH205),"")</f>
        <v>7350</v>
      </c>
      <c r="E70" s="62">
        <f>IF(AND(OR(smp_act_view_idx=1,smp_act_view_idx=4),3&lt;=smp_act_horizon_n),CHOOSE(smp_act_scn_idx,AG205,BH205,CI205),"")</f>
        <v>7350</v>
      </c>
      <c r="F70" s="62">
        <f>IF(AND(OR(smp_act_view_idx=1,smp_act_view_idx=4),4&lt;=smp_act_horizon_n),CHOOSE(smp_act_scn_idx,AH205,BI205,CJ205),"")</f>
        <v>7350</v>
      </c>
      <c r="G70" s="62">
        <f>IF(AND(OR(smp_act_view_idx=1,smp_act_view_idx=4),5&lt;=smp_act_horizon_n),CHOOSE(smp_act_scn_idx,AI205,BJ205,CK205),"")</f>
        <v>7350</v>
      </c>
      <c r="H70" s="62">
        <f>IF(AND(OR(smp_act_view_idx=1,smp_act_view_idx=4),6&lt;=smp_act_horizon_n),CHOOSE(smp_act_scn_idx,AJ205,BK205,CL205),"")</f>
        <v>7350</v>
      </c>
      <c r="I70" s="62">
        <f>IF(AND(OR(smp_act_view_idx=1,smp_act_view_idx=4),7&lt;=smp_act_horizon_n),CHOOSE(smp_act_scn_idx,AK205,BL205,CM205),"")</f>
        <v>7350</v>
      </c>
      <c r="J70" s="62">
        <f>IF(AND(OR(smp_act_view_idx=1,smp_act_view_idx=4),8&lt;=smp_act_horizon_n),CHOOSE(smp_act_scn_idx,AL205,BM205,CN205),"")</f>
        <v>7350</v>
      </c>
      <c r="K70" s="62">
        <f>IF(AND(OR(smp_act_view_idx=1,smp_act_view_idx=4),9&lt;=smp_act_horizon_n),CHOOSE(smp_act_scn_idx,AM205,BN205,CO205),"")</f>
        <v>7350</v>
      </c>
      <c r="L70" s="62">
        <f>IF(AND(OR(smp_act_view_idx=1,smp_act_view_idx=4),10&lt;=smp_act_horizon_n),CHOOSE(smp_act_scn_idx,AN205,BO205,CP205),"")</f>
        <v>7350</v>
      </c>
      <c r="M70" s="62">
        <f>IF(AND(OR(smp_act_view_idx=1,smp_act_view_idx=4),11&lt;=smp_act_horizon_n),CHOOSE(smp_act_scn_idx,AO205,BP205,CQ205),"")</f>
        <v>7350</v>
      </c>
      <c r="N70" s="62">
        <f>IF(AND(OR(smp_act_view_idx=1,smp_act_view_idx=4),12&lt;=smp_act_horizon_n),CHOOSE(smp_act_scn_idx,AP205,BQ205,CR205),"")</f>
        <v>7350</v>
      </c>
      <c r="O70" s="62">
        <f>IF(AND(OR(smp_act_view_idx=1,smp_act_view_idx=4),13&lt;=smp_act_horizon_n),CHOOSE(smp_act_scn_idx,AQ205,BR205,CS205),"")</f>
        <v>7350</v>
      </c>
      <c r="P70" s="62">
        <f>IF(AND(OR(smp_act_view_idx=1,smp_act_view_idx=4),14&lt;=smp_act_horizon_n),CHOOSE(smp_act_scn_idx,AR205,BS205,CT205),"")</f>
        <v>7350</v>
      </c>
      <c r="Q70" s="62">
        <f>IF(AND(OR(smp_act_view_idx=1,smp_act_view_idx=4),15&lt;=smp_act_horizon_n),CHOOSE(smp_act_scn_idx,AS205,BT205,CU205),"")</f>
        <v>7350</v>
      </c>
      <c r="R70" s="62">
        <f>IF(AND(OR(smp_act_view_idx=1,smp_act_view_idx=4),16&lt;=smp_act_horizon_n),CHOOSE(smp_act_scn_idx,AT205,BU205,CV205),"")</f>
        <v>7350</v>
      </c>
      <c r="S70" s="62">
        <f>IF(AND(OR(smp_act_view_idx=1,smp_act_view_idx=4),17&lt;=smp_act_horizon_n),CHOOSE(smp_act_scn_idx,AU205,BV205,CW205),"")</f>
        <v>7350</v>
      </c>
      <c r="T70" s="62">
        <f>IF(AND(OR(smp_act_view_idx=1,smp_act_view_idx=4),18&lt;=smp_act_horizon_n),CHOOSE(smp_act_scn_idx,AV205,BW205,CX205),"")</f>
        <v>7350</v>
      </c>
      <c r="U70" s="62">
        <f>IF(AND(OR(smp_act_view_idx=1,smp_act_view_idx=4),19&lt;=smp_act_horizon_n),CHOOSE(smp_act_scn_idx,AW205,BX205,CY205),"")</f>
        <v>7350</v>
      </c>
      <c r="V70" s="62">
        <f>IF(AND(OR(smp_act_view_idx=1,smp_act_view_idx=4),20&lt;=smp_act_horizon_n),CHOOSE(smp_act_scn_idx,AX205,BY205,CZ205),"")</f>
        <v>7350</v>
      </c>
      <c r="W70" s="62">
        <f>IF(AND(OR(smp_act_view_idx=1,smp_act_view_idx=4),21&lt;=smp_act_horizon_n),CHOOSE(smp_act_scn_idx,AY205,BZ205,DA205),"")</f>
        <v>7350</v>
      </c>
      <c r="X70" s="62">
        <f>IF(AND(OR(smp_act_view_idx=1,smp_act_view_idx=4),22&lt;=smp_act_horizon_n),CHOOSE(smp_act_scn_idx,AZ205,CA205,DB205),"")</f>
        <v>7350</v>
      </c>
      <c r="Y70" s="62">
        <f>IF(AND(OR(smp_act_view_idx=1,smp_act_view_idx=4),23&lt;=smp_act_horizon_n),CHOOSE(smp_act_scn_idx,BA205,CB205,DC205),"")</f>
        <v>7350</v>
      </c>
      <c r="Z70" s="62">
        <f>IF(AND(OR(smp_act_view_idx=1,smp_act_view_idx=4),24&lt;=smp_act_horizon_n),CHOOSE(smp_act_scn_idx,BB205,CC205,DD205),"")</f>
        <v>7350</v>
      </c>
      <c r="AA70" s="1"/>
      <c r="AB70" s="63">
        <f>IF(OR(smp_act_view_idx=1,smp_act_view_idx=4),CHOOSE(smp_act_scn_idx,BC205,CD205,DE205),"")</f>
        <v>88200</v>
      </c>
      <c r="AC70" s="63">
        <f>IF(AND(OR(smp_act_view_idx=1,smp_act_view_idx=4),smp_act_horizon_n&gt;=24),CHOOSE(smp_act_scn_idx,BD205,CE205,DF205),"")</f>
        <v>88200</v>
      </c>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c r="DH70"/>
    </row>
    <row r="71" spans="1:112" ht="20" customHeight="1" x14ac:dyDescent="0.2">
      <c r="A71" s="1"/>
      <c r="B71" s="22" t="str">
        <f>IF(OR(smp_act_view_idx=1,smp_act_view_idx=4),"   Sales &amp; marketing","")</f>
        <v xml:space="preserve">   Sales &amp; marketing</v>
      </c>
      <c r="C71" s="62">
        <f>IF(AND(OR(smp_act_view_idx=1,smp_act_view_idx=4),1&lt;=smp_act_horizon_n),CHOOSE(smp_act_scn_idx,AE206,BF206,CG206),"")</f>
        <v>15680</v>
      </c>
      <c r="D71" s="62">
        <f>IF(AND(OR(smp_act_view_idx=1,smp_act_view_idx=4),2&lt;=smp_act_horizon_n),CHOOSE(smp_act_scn_idx,AF206,BG206,CH206),"")</f>
        <v>15680</v>
      </c>
      <c r="E71" s="62">
        <f>IF(AND(OR(smp_act_view_idx=1,smp_act_view_idx=4),3&lt;=smp_act_horizon_n),CHOOSE(smp_act_scn_idx,AG206,BH206,CI206),"")</f>
        <v>15680</v>
      </c>
      <c r="F71" s="62">
        <f>IF(AND(OR(smp_act_view_idx=1,smp_act_view_idx=4),4&lt;=smp_act_horizon_n),CHOOSE(smp_act_scn_idx,AH206,BI206,CJ206),"")</f>
        <v>15680</v>
      </c>
      <c r="G71" s="62">
        <f>IF(AND(OR(smp_act_view_idx=1,smp_act_view_idx=4),5&lt;=smp_act_horizon_n),CHOOSE(smp_act_scn_idx,AI206,BJ206,CK206),"")</f>
        <v>15680</v>
      </c>
      <c r="H71" s="62">
        <f>IF(AND(OR(smp_act_view_idx=1,smp_act_view_idx=4),6&lt;=smp_act_horizon_n),CHOOSE(smp_act_scn_idx,AJ206,BK206,CL206),"")</f>
        <v>15680</v>
      </c>
      <c r="I71" s="62">
        <f>IF(AND(OR(smp_act_view_idx=1,smp_act_view_idx=4),7&lt;=smp_act_horizon_n),CHOOSE(smp_act_scn_idx,AK206,BL206,CM206),"")</f>
        <v>15680</v>
      </c>
      <c r="J71" s="62">
        <f>IF(AND(OR(smp_act_view_idx=1,smp_act_view_idx=4),8&lt;=smp_act_horizon_n),CHOOSE(smp_act_scn_idx,AL206,BM206,CN206),"")</f>
        <v>15680</v>
      </c>
      <c r="K71" s="62">
        <f>IF(AND(OR(smp_act_view_idx=1,smp_act_view_idx=4),9&lt;=smp_act_horizon_n),CHOOSE(smp_act_scn_idx,AM206,BN206,CO206),"")</f>
        <v>15680</v>
      </c>
      <c r="L71" s="62">
        <f>IF(AND(OR(smp_act_view_idx=1,smp_act_view_idx=4),10&lt;=smp_act_horizon_n),CHOOSE(smp_act_scn_idx,AN206,BO206,CP206),"")</f>
        <v>15680</v>
      </c>
      <c r="M71" s="62">
        <f>IF(AND(OR(smp_act_view_idx=1,smp_act_view_idx=4),11&lt;=smp_act_horizon_n),CHOOSE(smp_act_scn_idx,AO206,BP206,CQ206),"")</f>
        <v>15680</v>
      </c>
      <c r="N71" s="62">
        <f>IF(AND(OR(smp_act_view_idx=1,smp_act_view_idx=4),12&lt;=smp_act_horizon_n),CHOOSE(smp_act_scn_idx,AP206,BQ206,CR206),"")</f>
        <v>15680</v>
      </c>
      <c r="O71" s="62">
        <f>IF(AND(OR(smp_act_view_idx=1,smp_act_view_idx=4),13&lt;=smp_act_horizon_n),CHOOSE(smp_act_scn_idx,AQ206,BR206,CS206),"")</f>
        <v>15680</v>
      </c>
      <c r="P71" s="62">
        <f>IF(AND(OR(smp_act_view_idx=1,smp_act_view_idx=4),14&lt;=smp_act_horizon_n),CHOOSE(smp_act_scn_idx,AR206,BS206,CT206),"")</f>
        <v>15680</v>
      </c>
      <c r="Q71" s="62">
        <f>IF(AND(OR(smp_act_view_idx=1,smp_act_view_idx=4),15&lt;=smp_act_horizon_n),CHOOSE(smp_act_scn_idx,AS206,BT206,CU206),"")</f>
        <v>15680</v>
      </c>
      <c r="R71" s="62">
        <f>IF(AND(OR(smp_act_view_idx=1,smp_act_view_idx=4),16&lt;=smp_act_horizon_n),CHOOSE(smp_act_scn_idx,AT206,BU206,CV206),"")</f>
        <v>15680</v>
      </c>
      <c r="S71" s="62">
        <f>IF(AND(OR(smp_act_view_idx=1,smp_act_view_idx=4),17&lt;=smp_act_horizon_n),CHOOSE(smp_act_scn_idx,AU206,BV206,CW206),"")</f>
        <v>15680</v>
      </c>
      <c r="T71" s="62">
        <f>IF(AND(OR(smp_act_view_idx=1,smp_act_view_idx=4),18&lt;=smp_act_horizon_n),CHOOSE(smp_act_scn_idx,AV206,BW206,CX206),"")</f>
        <v>15680</v>
      </c>
      <c r="U71" s="62">
        <f>IF(AND(OR(smp_act_view_idx=1,smp_act_view_idx=4),19&lt;=smp_act_horizon_n),CHOOSE(smp_act_scn_idx,AW206,BX206,CY206),"")</f>
        <v>15680</v>
      </c>
      <c r="V71" s="62">
        <f>IF(AND(OR(smp_act_view_idx=1,smp_act_view_idx=4),20&lt;=smp_act_horizon_n),CHOOSE(smp_act_scn_idx,AX206,BY206,CZ206),"")</f>
        <v>15680</v>
      </c>
      <c r="W71" s="62">
        <f>IF(AND(OR(smp_act_view_idx=1,smp_act_view_idx=4),21&lt;=smp_act_horizon_n),CHOOSE(smp_act_scn_idx,AY206,BZ206,DA206),"")</f>
        <v>15680</v>
      </c>
      <c r="X71" s="62">
        <f>IF(AND(OR(smp_act_view_idx=1,smp_act_view_idx=4),22&lt;=smp_act_horizon_n),CHOOSE(smp_act_scn_idx,AZ206,CA206,DB206),"")</f>
        <v>15680</v>
      </c>
      <c r="Y71" s="62">
        <f>IF(AND(OR(smp_act_view_idx=1,smp_act_view_idx=4),23&lt;=smp_act_horizon_n),CHOOSE(smp_act_scn_idx,BA206,CB206,DC206),"")</f>
        <v>15680</v>
      </c>
      <c r="Z71" s="62">
        <f>IF(AND(OR(smp_act_view_idx=1,smp_act_view_idx=4),24&lt;=smp_act_horizon_n),CHOOSE(smp_act_scn_idx,BB206,CC206,DD206),"")</f>
        <v>15680</v>
      </c>
      <c r="AA71" s="1"/>
      <c r="AB71" s="63">
        <f>IF(OR(smp_act_view_idx=1,smp_act_view_idx=4),CHOOSE(smp_act_scn_idx,BC206,CD206,DE206),"")</f>
        <v>188160</v>
      </c>
      <c r="AC71" s="63">
        <f>IF(AND(OR(smp_act_view_idx=1,smp_act_view_idx=4),smp_act_horizon_n&gt;=24),CHOOSE(smp_act_scn_idx,BD206,CE206,DF206),"")</f>
        <v>188160</v>
      </c>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c r="DH71"/>
    </row>
    <row r="72" spans="1:112" ht="20" customHeight="1" x14ac:dyDescent="0.2">
      <c r="A72" s="1"/>
      <c r="B72" s="22" t="str">
        <f>IF(OR(smp_act_view_idx=1,smp_act_view_idx=4),"   Prof. fees + insurance + other","")</f>
        <v xml:space="preserve">   Prof. fees + insurance + other</v>
      </c>
      <c r="C72" s="62">
        <f>IF(AND(OR(smp_act_view_idx=1,smp_act_view_idx=4),1&lt;=smp_act_horizon_n),CHOOSE(smp_act_scn_idx,(AE207+AE208+AE209),(BF207+BF208+BF209),(CG207+CG208+CG209)),"")</f>
        <v>14700</v>
      </c>
      <c r="D72" s="62">
        <f>IF(AND(OR(smp_act_view_idx=1,smp_act_view_idx=4),2&lt;=smp_act_horizon_n),CHOOSE(smp_act_scn_idx,(AF207+AF208+AF209),(BG207+BG208+BG209),(CH207+CH208+CH209)),"")</f>
        <v>14700</v>
      </c>
      <c r="E72" s="62">
        <f>IF(AND(OR(smp_act_view_idx=1,smp_act_view_idx=4),3&lt;=smp_act_horizon_n),CHOOSE(smp_act_scn_idx,(AG207+AG208+AG209),(BH207+BH208+BH209),(CI207+CI208+CI209)),"")</f>
        <v>14700</v>
      </c>
      <c r="F72" s="62">
        <f>IF(AND(OR(smp_act_view_idx=1,smp_act_view_idx=4),4&lt;=smp_act_horizon_n),CHOOSE(smp_act_scn_idx,(AH207+AH208+AH209),(BI207+BI208+BI209),(CJ207+CJ208+CJ209)),"")</f>
        <v>14700</v>
      </c>
      <c r="G72" s="62">
        <f>IF(AND(OR(smp_act_view_idx=1,smp_act_view_idx=4),5&lt;=smp_act_horizon_n),CHOOSE(smp_act_scn_idx,(AI207+AI208+AI209),(BJ207+BJ208+BJ209),(CK207+CK208+CK209)),"")</f>
        <v>14700</v>
      </c>
      <c r="H72" s="62">
        <f>IF(AND(OR(smp_act_view_idx=1,smp_act_view_idx=4),6&lt;=smp_act_horizon_n),CHOOSE(smp_act_scn_idx,(AJ207+AJ208+AJ209),(BK207+BK208+BK209),(CL207+CL208+CL209)),"")</f>
        <v>14700</v>
      </c>
      <c r="I72" s="62">
        <f>IF(AND(OR(smp_act_view_idx=1,smp_act_view_idx=4),7&lt;=smp_act_horizon_n),CHOOSE(smp_act_scn_idx,(AK207+AK208+AK209),(BL207+BL208+BL209),(CM207+CM208+CM209)),"")</f>
        <v>14700</v>
      </c>
      <c r="J72" s="62">
        <f>IF(AND(OR(smp_act_view_idx=1,smp_act_view_idx=4),8&lt;=smp_act_horizon_n),CHOOSE(smp_act_scn_idx,(AL207+AL208+AL209),(BM207+BM208+BM209),(CN207+CN208+CN209)),"")</f>
        <v>14700</v>
      </c>
      <c r="K72" s="62">
        <f>IF(AND(OR(smp_act_view_idx=1,smp_act_view_idx=4),9&lt;=smp_act_horizon_n),CHOOSE(smp_act_scn_idx,(AM207+AM208+AM209),(BN207+BN208+BN209),(CO207+CO208+CO209)),"")</f>
        <v>14700</v>
      </c>
      <c r="L72" s="62">
        <f>IF(AND(OR(smp_act_view_idx=1,smp_act_view_idx=4),10&lt;=smp_act_horizon_n),CHOOSE(smp_act_scn_idx,(AN207+AN208+AN209),(BO207+BO208+BO209),(CP207+CP208+CP209)),"")</f>
        <v>14700</v>
      </c>
      <c r="M72" s="62">
        <f>IF(AND(OR(smp_act_view_idx=1,smp_act_view_idx=4),11&lt;=smp_act_horizon_n),CHOOSE(smp_act_scn_idx,(AO207+AO208+AO209),(BP207+BP208+BP209),(CQ207+CQ208+CQ209)),"")</f>
        <v>14700</v>
      </c>
      <c r="N72" s="62">
        <f>IF(AND(OR(smp_act_view_idx=1,smp_act_view_idx=4),12&lt;=smp_act_horizon_n),CHOOSE(smp_act_scn_idx,(AP207+AP208+AP209),(BQ207+BQ208+BQ209),(CR207+CR208+CR209)),"")</f>
        <v>14700</v>
      </c>
      <c r="O72" s="62">
        <f>IF(AND(OR(smp_act_view_idx=1,smp_act_view_idx=4),13&lt;=smp_act_horizon_n),CHOOSE(smp_act_scn_idx,(AQ207+AQ208+AQ209),(BR207+BR208+BR209),(CS207+CS208+CS209)),"")</f>
        <v>14700</v>
      </c>
      <c r="P72" s="62">
        <f>IF(AND(OR(smp_act_view_idx=1,smp_act_view_idx=4),14&lt;=smp_act_horizon_n),CHOOSE(smp_act_scn_idx,(AR207+AR208+AR209),(BS207+BS208+BS209),(CT207+CT208+CT209)),"")</f>
        <v>14700</v>
      </c>
      <c r="Q72" s="62">
        <f>IF(AND(OR(smp_act_view_idx=1,smp_act_view_idx=4),15&lt;=smp_act_horizon_n),CHOOSE(smp_act_scn_idx,(AS207+AS208+AS209),(BT207+BT208+BT209),(CU207+CU208+CU209)),"")</f>
        <v>14700</v>
      </c>
      <c r="R72" s="62">
        <f>IF(AND(OR(smp_act_view_idx=1,smp_act_view_idx=4),16&lt;=smp_act_horizon_n),CHOOSE(smp_act_scn_idx,(AT207+AT208+AT209),(BU207+BU208+BU209),(CV207+CV208+CV209)),"")</f>
        <v>14700</v>
      </c>
      <c r="S72" s="62">
        <f>IF(AND(OR(smp_act_view_idx=1,smp_act_view_idx=4),17&lt;=smp_act_horizon_n),CHOOSE(smp_act_scn_idx,(AU207+AU208+AU209),(BV207+BV208+BV209),(CW207+CW208+CW209)),"")</f>
        <v>14700</v>
      </c>
      <c r="T72" s="62">
        <f>IF(AND(OR(smp_act_view_idx=1,smp_act_view_idx=4),18&lt;=smp_act_horizon_n),CHOOSE(smp_act_scn_idx,(AV207+AV208+AV209),(BW207+BW208+BW209),(CX207+CX208+CX209)),"")</f>
        <v>14700</v>
      </c>
      <c r="U72" s="62">
        <f>IF(AND(OR(smp_act_view_idx=1,smp_act_view_idx=4),19&lt;=smp_act_horizon_n),CHOOSE(smp_act_scn_idx,(AW207+AW208+AW209),(BX207+BX208+BX209),(CY207+CY208+CY209)),"")</f>
        <v>14700</v>
      </c>
      <c r="V72" s="62">
        <f>IF(AND(OR(smp_act_view_idx=1,smp_act_view_idx=4),20&lt;=smp_act_horizon_n),CHOOSE(smp_act_scn_idx,(AX207+AX208+AX209),(BY207+BY208+BY209),(CZ207+CZ208+CZ209)),"")</f>
        <v>14700</v>
      </c>
      <c r="W72" s="62">
        <f>IF(AND(OR(smp_act_view_idx=1,smp_act_view_idx=4),21&lt;=smp_act_horizon_n),CHOOSE(smp_act_scn_idx,(AY207+AY208+AY209),(BZ207+BZ208+BZ209),(DA207+DA208+DA209)),"")</f>
        <v>14700</v>
      </c>
      <c r="X72" s="62">
        <f>IF(AND(OR(smp_act_view_idx=1,smp_act_view_idx=4),22&lt;=smp_act_horizon_n),CHOOSE(smp_act_scn_idx,(AZ207+AZ208+AZ209),(CA207+CA208+CA209),(DB207+DB208+DB209)),"")</f>
        <v>14700</v>
      </c>
      <c r="Y72" s="62">
        <f>IF(AND(OR(smp_act_view_idx=1,smp_act_view_idx=4),23&lt;=smp_act_horizon_n),CHOOSE(smp_act_scn_idx,(BA207+BA208+BA209),(CB207+CB208+CB209),(DC207+DC208+DC209)),"")</f>
        <v>14700</v>
      </c>
      <c r="Z72" s="62">
        <f>IF(AND(OR(smp_act_view_idx=1,smp_act_view_idx=4),24&lt;=smp_act_horizon_n),CHOOSE(smp_act_scn_idx,(BB207+BB208+BB209),(CC207+CC208+CC209),(DD207+DD208+DD209)),"")</f>
        <v>14700</v>
      </c>
      <c r="AA72" s="1"/>
      <c r="AB72" s="63">
        <f>IF(OR(smp_act_view_idx=1,smp_act_view_idx=4),CHOOSE(smp_act_scn_idx,(BC207+BC208+BC209),(CD207+CD208+CD209),(DE207+DE208+DE209)),"")</f>
        <v>176400</v>
      </c>
      <c r="AC72" s="63">
        <f>IF(AND(OR(smp_act_view_idx=1,smp_act_view_idx=4),smp_act_horizon_n&gt;=24),CHOOSE(smp_act_scn_idx,(BD207+BD208+BD209),(CE207+CE208+CE209),(DF207+DF208+DF209)),"")</f>
        <v>176400</v>
      </c>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c r="DH72"/>
    </row>
    <row r="73" spans="1:112" ht="20" customHeight="1" x14ac:dyDescent="0.2">
      <c r="A73" s="1"/>
      <c r="B73" s="64" t="str">
        <f>IF(OR(smp_act_view_idx=1,smp_act_view_idx=4),"Total operating expenses","")</f>
        <v>Total operating expenses</v>
      </c>
      <c r="C73" s="65">
        <f>IF(AND(OR(smp_act_view_idx=1,smp_act_view_idx=4),1&lt;=smp_act_horizon_n),CHOOSE(smp_act_scn_idx,AE210,BF210,CG210),"")</f>
        <v>138261.66666666666</v>
      </c>
      <c r="D73" s="65">
        <f>IF(AND(OR(smp_act_view_idx=1,smp_act_view_idx=4),2&lt;=smp_act_horizon_n),CHOOSE(smp_act_scn_idx,AF210,BG210,CH210),"")</f>
        <v>138261.66666666666</v>
      </c>
      <c r="E73" s="65">
        <f>IF(AND(OR(smp_act_view_idx=1,smp_act_view_idx=4),3&lt;=smp_act_horizon_n),CHOOSE(smp_act_scn_idx,AG210,BH210,CI210),"")</f>
        <v>138261.66666666666</v>
      </c>
      <c r="F73" s="65">
        <f>IF(AND(OR(smp_act_view_idx=1,smp_act_view_idx=4),4&lt;=smp_act_horizon_n),CHOOSE(smp_act_scn_idx,AH210,BI210,CJ210),"")</f>
        <v>138261.66666666666</v>
      </c>
      <c r="G73" s="65">
        <f>IF(AND(OR(smp_act_view_idx=1,smp_act_view_idx=4),5&lt;=smp_act_horizon_n),CHOOSE(smp_act_scn_idx,AI210,BJ210,CK210),"")</f>
        <v>138261.66666666666</v>
      </c>
      <c r="H73" s="65">
        <f>IF(AND(OR(smp_act_view_idx=1,smp_act_view_idx=4),6&lt;=smp_act_horizon_n),CHOOSE(smp_act_scn_idx,AJ210,BK210,CL210),"")</f>
        <v>138261.66666666666</v>
      </c>
      <c r="I73" s="65">
        <f>IF(AND(OR(smp_act_view_idx=1,smp_act_view_idx=4),7&lt;=smp_act_horizon_n),CHOOSE(smp_act_scn_idx,AK210,BL210,CM210),"")</f>
        <v>138261.66666666666</v>
      </c>
      <c r="J73" s="65">
        <f>IF(AND(OR(smp_act_view_idx=1,smp_act_view_idx=4),8&lt;=smp_act_horizon_n),CHOOSE(smp_act_scn_idx,AL210,BM210,CN210),"")</f>
        <v>138261.66666666666</v>
      </c>
      <c r="K73" s="65">
        <f>IF(AND(OR(smp_act_view_idx=1,smp_act_view_idx=4),9&lt;=smp_act_horizon_n),CHOOSE(smp_act_scn_idx,AM210,BN210,CO210),"")</f>
        <v>138261.66666666666</v>
      </c>
      <c r="L73" s="65">
        <f>IF(AND(OR(smp_act_view_idx=1,smp_act_view_idx=4),10&lt;=smp_act_horizon_n),CHOOSE(smp_act_scn_idx,AN210,BO210,CP210),"")</f>
        <v>138261.66666666666</v>
      </c>
      <c r="M73" s="65">
        <f>IF(AND(OR(smp_act_view_idx=1,smp_act_view_idx=4),11&lt;=smp_act_horizon_n),CHOOSE(smp_act_scn_idx,AO210,BP210,CQ210),"")</f>
        <v>138261.66666666666</v>
      </c>
      <c r="N73" s="65">
        <f>IF(AND(OR(smp_act_view_idx=1,smp_act_view_idx=4),12&lt;=smp_act_horizon_n),CHOOSE(smp_act_scn_idx,AP210,BQ210,CR210),"")</f>
        <v>138261.66666666666</v>
      </c>
      <c r="O73" s="65">
        <f>IF(AND(OR(smp_act_view_idx=1,smp_act_view_idx=4),13&lt;=smp_act_horizon_n),CHOOSE(smp_act_scn_idx,AQ210,BR210,CS210),"")</f>
        <v>138261.66666666666</v>
      </c>
      <c r="P73" s="65">
        <f>IF(AND(OR(smp_act_view_idx=1,smp_act_view_idx=4),14&lt;=smp_act_horizon_n),CHOOSE(smp_act_scn_idx,AR210,BS210,CT210),"")</f>
        <v>138261.66666666666</v>
      </c>
      <c r="Q73" s="65">
        <f>IF(AND(OR(smp_act_view_idx=1,smp_act_view_idx=4),15&lt;=smp_act_horizon_n),CHOOSE(smp_act_scn_idx,AS210,BT210,CU210),"")</f>
        <v>138261.66666666666</v>
      </c>
      <c r="R73" s="65">
        <f>IF(AND(OR(smp_act_view_idx=1,smp_act_view_idx=4),16&lt;=smp_act_horizon_n),CHOOSE(smp_act_scn_idx,AT210,BU210,CV210),"")</f>
        <v>138261.66666666666</v>
      </c>
      <c r="S73" s="65">
        <f>IF(AND(OR(smp_act_view_idx=1,smp_act_view_idx=4),17&lt;=smp_act_horizon_n),CHOOSE(smp_act_scn_idx,AU210,BV210,CW210),"")</f>
        <v>138261.66666666666</v>
      </c>
      <c r="T73" s="65">
        <f>IF(AND(OR(smp_act_view_idx=1,smp_act_view_idx=4),18&lt;=smp_act_horizon_n),CHOOSE(smp_act_scn_idx,AV210,BW210,CX210),"")</f>
        <v>138261.66666666666</v>
      </c>
      <c r="U73" s="65">
        <f>IF(AND(OR(smp_act_view_idx=1,smp_act_view_idx=4),19&lt;=smp_act_horizon_n),CHOOSE(smp_act_scn_idx,AW210,BX210,CY210),"")</f>
        <v>138261.66666666666</v>
      </c>
      <c r="V73" s="65">
        <f>IF(AND(OR(smp_act_view_idx=1,smp_act_view_idx=4),20&lt;=smp_act_horizon_n),CHOOSE(smp_act_scn_idx,AX210,BY210,CZ210),"")</f>
        <v>138261.66666666666</v>
      </c>
      <c r="W73" s="65">
        <f>IF(AND(OR(smp_act_view_idx=1,smp_act_view_idx=4),21&lt;=smp_act_horizon_n),CHOOSE(smp_act_scn_idx,AY210,BZ210,DA210),"")</f>
        <v>138261.66666666666</v>
      </c>
      <c r="X73" s="65">
        <f>IF(AND(OR(smp_act_view_idx=1,smp_act_view_idx=4),22&lt;=smp_act_horizon_n),CHOOSE(smp_act_scn_idx,AZ210,CA210,DB210),"")</f>
        <v>138261.66666666666</v>
      </c>
      <c r="Y73" s="65">
        <f>IF(AND(OR(smp_act_view_idx=1,smp_act_view_idx=4),23&lt;=smp_act_horizon_n),CHOOSE(smp_act_scn_idx,BA210,CB210,DC210),"")</f>
        <v>138261.66666666666</v>
      </c>
      <c r="Z73" s="65">
        <f>IF(AND(OR(smp_act_view_idx=1,smp_act_view_idx=4),24&lt;=smp_act_horizon_n),CHOOSE(smp_act_scn_idx,BB210,CC210,DD210),"")</f>
        <v>138261.66666666666</v>
      </c>
      <c r="AA73" s="1"/>
      <c r="AB73" s="65">
        <f>IF(OR(smp_act_view_idx=1,smp_act_view_idx=4),CHOOSE(smp_act_scn_idx,BC210,CD210,DE210),"")</f>
        <v>1659140.0000000002</v>
      </c>
      <c r="AC73" s="65">
        <f>IF(AND(OR(smp_act_view_idx=1,smp_act_view_idx=4),smp_act_horizon_n&gt;=24),CHOOSE(smp_act_scn_idx,BD210,CE210,DF210),"")</f>
        <v>1659140.0000000002</v>
      </c>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c r="DH73"/>
    </row>
    <row r="74" spans="1:112" ht="20" customHeight="1" x14ac:dyDescent="0.2">
      <c r="A74" s="1"/>
      <c r="B74" s="66" t="str">
        <f>IF(OR(smp_act_view_idx=1,smp_act_view_idx=4),"EBITDA","")</f>
        <v>EBITDA</v>
      </c>
      <c r="C74" s="67">
        <f>IF(AND(OR(smp_act_view_idx=1,smp_act_view_idx=4),1&lt;=smp_act_horizon_n),CHOOSE(smp_act_scn_idx,AE211,BF211,CG211),"")</f>
        <v>54207.033333333326</v>
      </c>
      <c r="D74" s="67">
        <f>IF(AND(OR(smp_act_view_idx=1,smp_act_view_idx=4),2&lt;=smp_act_horizon_n),CHOOSE(smp_act_scn_idx,AF211,BG211,CH211),"")</f>
        <v>64131.233333333337</v>
      </c>
      <c r="E74" s="67">
        <f>IF(AND(OR(smp_act_view_idx=1,smp_act_view_idx=4),3&lt;=smp_act_horizon_n),CHOOSE(smp_act_scn_idx,AG211,BH211,CI211),"")</f>
        <v>75479.273333333316</v>
      </c>
      <c r="F74" s="67">
        <f>IF(AND(OR(smp_act_view_idx=1,smp_act_view_idx=4),4&lt;=smp_act_horizon_n),CHOOSE(smp_act_scn_idx,AH211,BI211,CJ211),"")</f>
        <v>86029.153333333379</v>
      </c>
      <c r="G74" s="67">
        <f>IF(AND(OR(smp_act_view_idx=1,smp_act_view_idx=4),5&lt;=smp_act_horizon_n),CHOOSE(smp_act_scn_idx,AI211,BJ211,CK211),"")</f>
        <v>95823.993333333376</v>
      </c>
      <c r="H74" s="67">
        <f>IF(AND(OR(smp_act_view_idx=1,smp_act_view_idx=4),6&lt;=smp_act_horizon_n),CHOOSE(smp_act_scn_idx,AJ211,BK211,CL211),"")</f>
        <v>93363.953333333367</v>
      </c>
      <c r="I74" s="67">
        <f>IF(AND(OR(smp_act_view_idx=1,smp_act_view_idx=4),7&lt;=smp_act_horizon_n),CHOOSE(smp_act_scn_idx,AK211,BL211,CM211),"")</f>
        <v>90148.873333333351</v>
      </c>
      <c r="J74" s="67">
        <f>IF(AND(OR(smp_act_view_idx=1,smp_act_view_idx=4),8&lt;=smp_act_horizon_n),CHOOSE(smp_act_scn_idx,AL211,BM211,CN211),"")</f>
        <v>90720.213333333319</v>
      </c>
      <c r="K74" s="67">
        <f>IF(AND(OR(smp_act_view_idx=1,smp_act_view_idx=4),9&lt;=smp_act_horizon_n),CHOOSE(smp_act_scn_idx,AM211,BN211,CO211),"")</f>
        <v>101270.09333333338</v>
      </c>
      <c r="L74" s="67">
        <f>IF(AND(OR(smp_act_view_idx=1,smp_act_view_idx=4),10&lt;=smp_act_horizon_n),CHOOSE(smp_act_scn_idx,AN211,BO211,CP211),"")</f>
        <v>111108.05333333337</v>
      </c>
      <c r="M74" s="67">
        <f>IF(AND(OR(smp_act_view_idx=1,smp_act_view_idx=4),11&lt;=smp_act_horizon_n),CHOOSE(smp_act_scn_idx,AO211,BP211,CQ211),"")</f>
        <v>118626.55333333337</v>
      </c>
      <c r="N74" s="67">
        <f>IF(AND(OR(smp_act_view_idx=1,smp_act_view_idx=4),12&lt;=smp_act_horizon_n),CHOOSE(smp_act_scn_idx,AP211,BQ211,CR211),"")</f>
        <v>119952.93333333338</v>
      </c>
      <c r="O74" s="67">
        <f>IF(AND(OR(smp_act_view_idx=1,smp_act_view_idx=4),13&lt;=smp_act_horizon_n),CHOOSE(smp_act_scn_idx,AQ211,BR211,CS211),"")</f>
        <v>120255.21333333338</v>
      </c>
      <c r="P74" s="67">
        <f>IF(AND(OR(smp_act_view_idx=1,smp_act_view_idx=4),14&lt;=smp_act_horizon_n),CHOOSE(smp_act_scn_idx,AR211,BS211,CT211),"")</f>
        <v>129338.13333333333</v>
      </c>
      <c r="Q74" s="67">
        <f>IF(AND(OR(smp_act_view_idx=1,smp_act_view_idx=4),15&lt;=smp_act_horizon_n),CHOOSE(smp_act_scn_idx,AS211,BT211,CU211),"")</f>
        <v>138421.05333333332</v>
      </c>
      <c r="R74" s="67">
        <f>IF(AND(OR(smp_act_view_idx=1,smp_act_view_idx=4),16&lt;=smp_act_horizon_n),CHOOSE(smp_act_scn_idx,AT211,BU211,CV211),"")</f>
        <v>148970.93333333332</v>
      </c>
      <c r="S74" s="67">
        <f>IF(AND(OR(smp_act_view_idx=1,smp_act_view_idx=4),17&lt;=smp_act_horizon_n),CHOOSE(smp_act_scn_idx,AU211,BV211,CW211),"")</f>
        <v>156446.31333333332</v>
      </c>
      <c r="T74" s="67">
        <f>IF(AND(OR(smp_act_view_idx=1,smp_act_view_idx=4),18&lt;=smp_act_horizon_n),CHOOSE(smp_act_scn_idx,AV211,BW211,CX211),"")</f>
        <v>156305.73333333331</v>
      </c>
      <c r="U74" s="67">
        <f>IF(AND(OR(smp_act_view_idx=1,smp_act_view_idx=4),19&lt;=smp_act_horizon_n),CHOOSE(smp_act_scn_idx,AW211,BX211,CY211),"")</f>
        <v>153090.65333333329</v>
      </c>
      <c r="V74" s="67">
        <f>IF(AND(OR(smp_act_view_idx=1,smp_act_view_idx=4),20&lt;=smp_act_horizon_n),CHOOSE(smp_act_scn_idx,AX211,BY211,CZ211),"")</f>
        <v>154417.0333333333</v>
      </c>
      <c r="W74" s="67">
        <f>IF(AND(OR(smp_act_view_idx=1,smp_act_view_idx=4),21&lt;=smp_act_horizon_n),CHOOSE(smp_act_scn_idx,AY211,BZ211,DA211),"")</f>
        <v>160566.0333333333</v>
      </c>
      <c r="X74" s="67">
        <f>IF(AND(OR(smp_act_view_idx=1,smp_act_view_idx=4),22&lt;=smp_act_horizon_n),CHOOSE(smp_act_scn_idx,AZ211,CA211,DB211),"")</f>
        <v>166715.0333333333</v>
      </c>
      <c r="Y74" s="67">
        <f>IF(AND(OR(smp_act_view_idx=1,smp_act_view_idx=4),23&lt;=smp_act_horizon_n),CHOOSE(smp_act_scn_idx,BA211,CB211,DC211),"")</f>
        <v>169789.5333333333</v>
      </c>
      <c r="Z74" s="67">
        <f>IF(AND(OR(smp_act_view_idx=1,smp_act_view_idx=4),24&lt;=smp_act_horizon_n),CHOOSE(smp_act_scn_idx,BB211,CC211,DD211),"")</f>
        <v>166715.0333333333</v>
      </c>
      <c r="AA74" s="1"/>
      <c r="AB74" s="67">
        <f>IF(OR(smp_act_view_idx=1,smp_act_view_idx=4),CHOOSE(smp_act_scn_idx,BC211,CD211,DE211),"")</f>
        <v>1100861.3600000003</v>
      </c>
      <c r="AC74" s="67">
        <f>IF(AND(OR(smp_act_view_idx=1,smp_act_view_idx=4),smp_act_horizon_n&gt;=24),CHOOSE(smp_act_scn_idx,BD211,CE211,DF211),"")</f>
        <v>1821030.6999999995</v>
      </c>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c r="DH74"/>
    </row>
    <row r="75" spans="1:112" ht="20" customHeight="1" x14ac:dyDescent="0.2">
      <c r="A75" s="1"/>
      <c r="B75" s="23" t="str">
        <f>IF(OR(smp_act_view_idx=1,smp_act_view_idx=4),"   EBITDA %","")</f>
        <v xml:space="preserve">   EBITDA %</v>
      </c>
      <c r="C75" s="68">
        <f>IF(AND(OR(smp_act_view_idx=1,smp_act_view_idx=4),1&lt;=smp_act_horizon_n),CHOOSE(smp_act_scn_idx,AE212,BF212,CG212),"")</f>
        <v>0.13688644781144779</v>
      </c>
      <c r="D75" s="68">
        <f>IF(AND(OR(smp_act_view_idx=1,smp_act_view_idx=4),2&lt;=smp_act_horizon_n),CHOOSE(smp_act_scn_idx,AF212,BG212,CH212),"")</f>
        <v>0.15546965656565659</v>
      </c>
      <c r="E75" s="68">
        <f>IF(AND(OR(smp_act_view_idx=1,smp_act_view_idx=4),3&lt;=smp_act_horizon_n),CHOOSE(smp_act_scn_idx,AG212,BH212,CI212),"")</f>
        <v>0.17504469696969693</v>
      </c>
      <c r="F75" s="68">
        <f>IF(AND(OR(smp_act_view_idx=1,smp_act_view_idx=4),4&lt;=smp_act_horizon_n),CHOOSE(smp_act_scn_idx,AH212,BI212,CJ212),"")</f>
        <v>0.1916870617944148</v>
      </c>
      <c r="G75" s="68">
        <f>IF(AND(OR(smp_act_view_idx=1,smp_act_view_idx=4),5&lt;=smp_act_horizon_n),CHOOSE(smp_act_scn_idx,AI212,BJ212,CK212),"")</f>
        <v>0.20594023927215424</v>
      </c>
      <c r="H75" s="68">
        <f>IF(AND(OR(smp_act_view_idx=1,smp_act_view_idx=4),6&lt;=smp_act_horizon_n),CHOOSE(smp_act_scn_idx,AJ212,BK212,CL212),"")</f>
        <v>0.20305340002899816</v>
      </c>
      <c r="I75" s="68">
        <f>IF(AND(OR(smp_act_view_idx=1,smp_act_view_idx=4),7&lt;=smp_act_horizon_n),CHOOSE(smp_act_scn_idx,AK212,BL212,CM212),"")</f>
        <v>0.19891631362165346</v>
      </c>
      <c r="J75" s="68">
        <f>IF(AND(OR(smp_act_view_idx=1,smp_act_view_idx=4),8&lt;=smp_act_horizon_n),CHOOSE(smp_act_scn_idx,AL212,BM212,CN212),"")</f>
        <v>0.20017699323330387</v>
      </c>
      <c r="K75" s="68">
        <f>IF(AND(OR(smp_act_view_idx=1,smp_act_view_idx=4),9&lt;=smp_act_horizon_n),CHOOSE(smp_act_scn_idx,AM212,BN212,CO212),"")</f>
        <v>0.21510215236476926</v>
      </c>
      <c r="L75" s="68">
        <f>IF(AND(OR(smp_act_view_idx=1,smp_act_view_idx=4),10&lt;=smp_act_horizon_n),CHOOSE(smp_act_scn_idx,AN212,BO212,CP212),"")</f>
        <v>0.22800749709282447</v>
      </c>
      <c r="M75" s="68">
        <f>IF(AND(OR(smp_act_view_idx=1,smp_act_view_idx=4),11&lt;=smp_act_horizon_n),CHOOSE(smp_act_scn_idx,AO212,BP212,CQ212),"")</f>
        <v>0.23753815244960624</v>
      </c>
      <c r="N75" s="68">
        <f>IF(AND(OR(smp_act_view_idx=1,smp_act_view_idx=4),12&lt;=smp_act_horizon_n),CHOOSE(smp_act_scn_idx,AP212,BQ212,CR212),"")</f>
        <v>0.23966620046620052</v>
      </c>
      <c r="O75" s="68">
        <f>IF(AND(OR(smp_act_view_idx=1,smp_act_view_idx=4),13&lt;=smp_act_horizon_n),CHOOSE(smp_act_scn_idx,AQ212,BR212,CS212),"")</f>
        <v>0.2397432482721957</v>
      </c>
      <c r="P75" s="68">
        <f>IF(AND(OR(smp_act_view_idx=1,smp_act_view_idx=4),14&lt;=smp_act_horizon_n),CHOOSE(smp_act_scn_idx,AR212,BS212,CT212),"")</f>
        <v>0.25017047066408771</v>
      </c>
      <c r="Q75" s="68">
        <f>IF(AND(OR(smp_act_view_idx=1,smp_act_view_idx=4),15&lt;=smp_act_horizon_n),CHOOSE(smp_act_scn_idx,AS212,BT212,CU212),"")</f>
        <v>0.25999446531429998</v>
      </c>
      <c r="R75" s="68">
        <f>IF(AND(OR(smp_act_view_idx=1,smp_act_view_idx=4),16&lt;=smp_act_horizon_n),CHOOSE(smp_act_scn_idx,AT212,BU212,CV212),"")</f>
        <v>0.27085624242424239</v>
      </c>
      <c r="S75" s="68">
        <f>IF(AND(OR(smp_act_view_idx=1,smp_act_view_idx=4),17&lt;=smp_act_horizon_n),CHOOSE(smp_act_scn_idx,AU212,BV212,CW212),"")</f>
        <v>0.27832469904524698</v>
      </c>
      <c r="T75" s="68">
        <f>IF(AND(OR(smp_act_view_idx=1,smp_act_view_idx=4),18&lt;=smp_act_horizon_n),CHOOSE(smp_act_scn_idx,AV212,BW212,CX212),"")</f>
        <v>0.27861984551396313</v>
      </c>
      <c r="U75" s="68">
        <f>IF(AND(OR(smp_act_view_idx=1,smp_act_view_idx=4),19&lt;=smp_act_horizon_n),CHOOSE(smp_act_scn_idx,AW212,BX212,CY212),"")</f>
        <v>0.27613754208754199</v>
      </c>
      <c r="V75" s="68">
        <f>IF(AND(OR(smp_act_view_idx=1,smp_act_view_idx=4),20&lt;=smp_act_horizon_n),CHOOSE(smp_act_scn_idx,AX212,BY212,CZ212),"")</f>
        <v>0.27797845784578451</v>
      </c>
      <c r="W75" s="68">
        <f>IF(AND(OR(smp_act_view_idx=1,smp_act_view_idx=4),21&lt;=smp_act_horizon_n),CHOOSE(smp_act_scn_idx,AY212,BZ212,DA212),"")</f>
        <v>0.2834351868196528</v>
      </c>
      <c r="X75" s="68">
        <f>IF(AND(OR(smp_act_view_idx=1,smp_act_view_idx=4),22&lt;=smp_act_horizon_n),CHOOSE(smp_act_scn_idx,AZ212,CA212,DB212),"")</f>
        <v>0.28868404040404033</v>
      </c>
      <c r="Y75" s="68">
        <f>IF(AND(OR(smp_act_view_idx=1,smp_act_view_idx=4),23&lt;=smp_act_horizon_n),CHOOSE(smp_act_scn_idx,BA212,CB212,DC212),"")</f>
        <v>0.29123419096626635</v>
      </c>
      <c r="Z75" s="68">
        <f>IF(AND(OR(smp_act_view_idx=1,smp_act_view_idx=4),24&lt;=smp_act_horizon_n),CHOOSE(smp_act_scn_idx,BB212,CC212,DD212),"")</f>
        <v>0.28868404040404033</v>
      </c>
      <c r="AA75" s="1"/>
      <c r="AB75" s="68">
        <f>IF(OR(smp_act_view_idx=1,smp_act_view_idx=4),CHOOSE(smp_act_scn_idx,BC212,CD212,DE212),"")</f>
        <v>0.20096045271997084</v>
      </c>
      <c r="AC75" s="68">
        <f>IF(AND(OR(smp_act_view_idx=1,smp_act_view_idx=4),smp_act_horizon_n&gt;=24),CHOOSE(smp_act_scn_idx,BD212,CE212,DF212),"")</f>
        <v>0.27431357987497168</v>
      </c>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c r="DH75"/>
    </row>
    <row r="76" spans="1:112" ht="20" customHeight="1" x14ac:dyDescent="0.2">
      <c r="A76" s="1"/>
      <c r="B76" s="22" t="str">
        <f>IF(OR(smp_act_view_idx=1,smp_act_view_idx=4),"   Depreciation &amp; amortisation","")</f>
        <v xml:space="preserve">   Depreciation &amp; amortisation</v>
      </c>
      <c r="C76" s="62">
        <f>IF(AND(OR(smp_act_view_idx=1,smp_act_view_idx=4),1&lt;=smp_act_horizon_n),CHOOSE(smp_act_scn_idx,AE213,BF213,CG213),"")</f>
        <v>3000</v>
      </c>
      <c r="D76" s="62">
        <f>IF(AND(OR(smp_act_view_idx=1,smp_act_view_idx=4),2&lt;=smp_act_horizon_n),CHOOSE(smp_act_scn_idx,AF213,BG213,CH213),"")</f>
        <v>3000</v>
      </c>
      <c r="E76" s="62">
        <f>IF(AND(OR(smp_act_view_idx=1,smp_act_view_idx=4),3&lt;=smp_act_horizon_n),CHOOSE(smp_act_scn_idx,AG213,BH213,CI213),"")</f>
        <v>3000</v>
      </c>
      <c r="F76" s="62">
        <f>IF(AND(OR(smp_act_view_idx=1,smp_act_view_idx=4),4&lt;=smp_act_horizon_n),CHOOSE(smp_act_scn_idx,AH213,BI213,CJ213),"")</f>
        <v>3000</v>
      </c>
      <c r="G76" s="62">
        <f>IF(AND(OR(smp_act_view_idx=1,smp_act_view_idx=4),5&lt;=smp_act_horizon_n),CHOOSE(smp_act_scn_idx,AI213,BJ213,CK213),"")</f>
        <v>3000</v>
      </c>
      <c r="H76" s="62">
        <f>IF(AND(OR(smp_act_view_idx=1,smp_act_view_idx=4),6&lt;=smp_act_horizon_n),CHOOSE(smp_act_scn_idx,AJ213,BK213,CL213),"")</f>
        <v>3000</v>
      </c>
      <c r="I76" s="62">
        <f>IF(AND(OR(smp_act_view_idx=1,smp_act_view_idx=4),7&lt;=smp_act_horizon_n),CHOOSE(smp_act_scn_idx,AK213,BL213,CM213),"")</f>
        <v>3000</v>
      </c>
      <c r="J76" s="62">
        <f>IF(AND(OR(smp_act_view_idx=1,smp_act_view_idx=4),8&lt;=smp_act_horizon_n),CHOOSE(smp_act_scn_idx,AL213,BM213,CN213),"")</f>
        <v>3000</v>
      </c>
      <c r="K76" s="62">
        <f>IF(AND(OR(smp_act_view_idx=1,smp_act_view_idx=4),9&lt;=smp_act_horizon_n),CHOOSE(smp_act_scn_idx,AM213,BN213,CO213),"")</f>
        <v>3000</v>
      </c>
      <c r="L76" s="62">
        <f>IF(AND(OR(smp_act_view_idx=1,smp_act_view_idx=4),10&lt;=smp_act_horizon_n),CHOOSE(smp_act_scn_idx,AN213,BO213,CP213),"")</f>
        <v>3000</v>
      </c>
      <c r="M76" s="62">
        <f>IF(AND(OR(smp_act_view_idx=1,smp_act_view_idx=4),11&lt;=smp_act_horizon_n),CHOOSE(smp_act_scn_idx,AO213,BP213,CQ213),"")</f>
        <v>3000</v>
      </c>
      <c r="N76" s="62">
        <f>IF(AND(OR(smp_act_view_idx=1,smp_act_view_idx=4),12&lt;=smp_act_horizon_n),CHOOSE(smp_act_scn_idx,AP213,BQ213,CR213),"")</f>
        <v>3000</v>
      </c>
      <c r="O76" s="62">
        <f>IF(AND(OR(smp_act_view_idx=1,smp_act_view_idx=4),13&lt;=smp_act_horizon_n),CHOOSE(smp_act_scn_idx,AQ213,BR213,CS213),"")</f>
        <v>3000</v>
      </c>
      <c r="P76" s="62">
        <f>IF(AND(OR(smp_act_view_idx=1,smp_act_view_idx=4),14&lt;=smp_act_horizon_n),CHOOSE(smp_act_scn_idx,AR213,BS213,CT213),"")</f>
        <v>3000</v>
      </c>
      <c r="Q76" s="62">
        <f>IF(AND(OR(smp_act_view_idx=1,smp_act_view_idx=4),15&lt;=smp_act_horizon_n),CHOOSE(smp_act_scn_idx,AS213,BT213,CU213),"")</f>
        <v>3000</v>
      </c>
      <c r="R76" s="62">
        <f>IF(AND(OR(smp_act_view_idx=1,smp_act_view_idx=4),16&lt;=smp_act_horizon_n),CHOOSE(smp_act_scn_idx,AT213,BU213,CV213),"")</f>
        <v>3000</v>
      </c>
      <c r="S76" s="62">
        <f>IF(AND(OR(smp_act_view_idx=1,smp_act_view_idx=4),17&lt;=smp_act_horizon_n),CHOOSE(smp_act_scn_idx,AU213,BV213,CW213),"")</f>
        <v>3000</v>
      </c>
      <c r="T76" s="62">
        <f>IF(AND(OR(smp_act_view_idx=1,smp_act_view_idx=4),18&lt;=smp_act_horizon_n),CHOOSE(smp_act_scn_idx,AV213,BW213,CX213),"")</f>
        <v>3000</v>
      </c>
      <c r="U76" s="62">
        <f>IF(AND(OR(smp_act_view_idx=1,smp_act_view_idx=4),19&lt;=smp_act_horizon_n),CHOOSE(smp_act_scn_idx,AW213,BX213,CY213),"")</f>
        <v>3000</v>
      </c>
      <c r="V76" s="62">
        <f>IF(AND(OR(smp_act_view_idx=1,smp_act_view_idx=4),20&lt;=smp_act_horizon_n),CHOOSE(smp_act_scn_idx,AX213,BY213,CZ213),"")</f>
        <v>3000</v>
      </c>
      <c r="W76" s="62">
        <f>IF(AND(OR(smp_act_view_idx=1,smp_act_view_idx=4),21&lt;=smp_act_horizon_n),CHOOSE(smp_act_scn_idx,AY213,BZ213,DA213),"")</f>
        <v>3000</v>
      </c>
      <c r="X76" s="62">
        <f>IF(AND(OR(smp_act_view_idx=1,smp_act_view_idx=4),22&lt;=smp_act_horizon_n),CHOOSE(smp_act_scn_idx,AZ213,CA213,DB213),"")</f>
        <v>3000</v>
      </c>
      <c r="Y76" s="62">
        <f>IF(AND(OR(smp_act_view_idx=1,smp_act_view_idx=4),23&lt;=smp_act_horizon_n),CHOOSE(smp_act_scn_idx,BA213,CB213,DC213),"")</f>
        <v>3000</v>
      </c>
      <c r="Z76" s="62">
        <f>IF(AND(OR(smp_act_view_idx=1,smp_act_view_idx=4),24&lt;=smp_act_horizon_n),CHOOSE(smp_act_scn_idx,BB213,CC213,DD213),"")</f>
        <v>3000</v>
      </c>
      <c r="AA76" s="1"/>
      <c r="AB76" s="63">
        <f>IF(OR(smp_act_view_idx=1,smp_act_view_idx=4),CHOOSE(smp_act_scn_idx,BC213,CD213,DE213),"")</f>
        <v>36000</v>
      </c>
      <c r="AC76" s="63">
        <f>IF(AND(OR(smp_act_view_idx=1,smp_act_view_idx=4),smp_act_horizon_n&gt;=24),CHOOSE(smp_act_scn_idx,BD213,CE213,DF213),"")</f>
        <v>36000</v>
      </c>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c r="DH76"/>
    </row>
    <row r="77" spans="1:112" ht="20" customHeight="1" x14ac:dyDescent="0.2">
      <c r="A77" s="1"/>
      <c r="B77" s="22" t="str">
        <f>IF(OR(smp_act_view_idx=1,smp_act_view_idx=4),"   Interest expense (on opening debt)","")</f>
        <v xml:space="preserve">   Interest expense (on opening debt)</v>
      </c>
      <c r="C77" s="62">
        <f>IF(AND(OR(smp_act_view_idx=1,smp_act_view_idx=4),1&lt;=smp_act_horizon_n),CHOOSE(smp_act_scn_idx,AE216,BF216,CG216),"")</f>
        <v>2125.0000000000005</v>
      </c>
      <c r="D77" s="62">
        <f>IF(AND(OR(smp_act_view_idx=1,smp_act_view_idx=4),2&lt;=smp_act_horizon_n),CHOOSE(smp_act_scn_idx,AF216,BG216,CH216),"")</f>
        <v>2065.9745833333336</v>
      </c>
      <c r="E77" s="62">
        <f>IF(AND(OR(smp_act_view_idx=1,smp_act_view_idx=4),3&lt;=smp_act_horizon_n),CHOOSE(smp_act_scn_idx,AG216,BH216,CI216),"")</f>
        <v>2006.949166666667</v>
      </c>
      <c r="F77" s="62">
        <f>IF(AND(OR(smp_act_view_idx=1,smp_act_view_idx=4),4&lt;=smp_act_horizon_n),CHOOSE(smp_act_scn_idx,AH216,BI216,CJ216),"")</f>
        <v>1947.9237500000002</v>
      </c>
      <c r="G77" s="62">
        <f>IF(AND(OR(smp_act_view_idx=1,smp_act_view_idx=4),5&lt;=smp_act_horizon_n),CHOOSE(smp_act_scn_idx,AI216,BJ216,CK216),"")</f>
        <v>1888.8983333333335</v>
      </c>
      <c r="H77" s="62">
        <f>IF(AND(OR(smp_act_view_idx=1,smp_act_view_idx=4),6&lt;=smp_act_horizon_n),CHOOSE(smp_act_scn_idx,AJ216,BK216,CL216),"")</f>
        <v>1829.8729166666669</v>
      </c>
      <c r="I77" s="62">
        <f>IF(AND(OR(smp_act_view_idx=1,smp_act_view_idx=4),7&lt;=smp_act_horizon_n),CHOOSE(smp_act_scn_idx,AK216,BL216,CM216),"")</f>
        <v>1770.8475000000001</v>
      </c>
      <c r="J77" s="62">
        <f>IF(AND(OR(smp_act_view_idx=1,smp_act_view_idx=4),8&lt;=smp_act_horizon_n),CHOOSE(smp_act_scn_idx,AL216,BM216,CN216),"")</f>
        <v>1711.8220833333335</v>
      </c>
      <c r="K77" s="62">
        <f>IF(AND(OR(smp_act_view_idx=1,smp_act_view_idx=4),9&lt;=smp_act_horizon_n),CHOOSE(smp_act_scn_idx,AM216,BN216,CO216),"")</f>
        <v>1652.7966666666669</v>
      </c>
      <c r="L77" s="62">
        <f>IF(AND(OR(smp_act_view_idx=1,smp_act_view_idx=4),10&lt;=smp_act_horizon_n),CHOOSE(smp_act_scn_idx,AN216,BO216,CP216),"")</f>
        <v>1593.77125</v>
      </c>
      <c r="M77" s="62">
        <f>IF(AND(OR(smp_act_view_idx=1,smp_act_view_idx=4),11&lt;=smp_act_horizon_n),CHOOSE(smp_act_scn_idx,AO216,BP216,CQ216),"")</f>
        <v>1534.7458333333334</v>
      </c>
      <c r="N77" s="62">
        <f>IF(AND(OR(smp_act_view_idx=1,smp_act_view_idx=4),12&lt;=smp_act_horizon_n),CHOOSE(smp_act_scn_idx,AP216,BQ216,CR216),"")</f>
        <v>1475.7204166666668</v>
      </c>
      <c r="O77" s="62">
        <f>IF(AND(OR(smp_act_view_idx=1,smp_act_view_idx=4),13&lt;=smp_act_horizon_n),CHOOSE(smp_act_scn_idx,AQ216,BR216,CS216),"")</f>
        <v>1416.6949999999999</v>
      </c>
      <c r="P77" s="62">
        <f>IF(AND(OR(smp_act_view_idx=1,smp_act_view_idx=4),14&lt;=smp_act_horizon_n),CHOOSE(smp_act_scn_idx,AR216,BS216,CT216),"")</f>
        <v>1357.6695833333335</v>
      </c>
      <c r="Q77" s="62">
        <f>IF(AND(OR(smp_act_view_idx=1,smp_act_view_idx=4),15&lt;=smp_act_horizon_n),CHOOSE(smp_act_scn_idx,AS216,BT216,CU216),"")</f>
        <v>1298.6441666666667</v>
      </c>
      <c r="R77" s="62">
        <f>IF(AND(OR(smp_act_view_idx=1,smp_act_view_idx=4),16&lt;=smp_act_horizon_n),CHOOSE(smp_act_scn_idx,AT216,BU216,CV216),"")</f>
        <v>1239.6187500000001</v>
      </c>
      <c r="S77" s="62">
        <f>IF(AND(OR(smp_act_view_idx=1,smp_act_view_idx=4),17&lt;=smp_act_horizon_n),CHOOSE(smp_act_scn_idx,AU216,BV216,CW216),"")</f>
        <v>1180.5933333333335</v>
      </c>
      <c r="T77" s="62">
        <f>IF(AND(OR(smp_act_view_idx=1,smp_act_view_idx=4),18&lt;=smp_act_horizon_n),CHOOSE(smp_act_scn_idx,AV216,BW216,CX216),"")</f>
        <v>1121.5679166666666</v>
      </c>
      <c r="U77" s="62">
        <f>IF(AND(OR(smp_act_view_idx=1,smp_act_view_idx=4),19&lt;=smp_act_horizon_n),CHOOSE(smp_act_scn_idx,AW216,BX216,CY216),"")</f>
        <v>1062.5425</v>
      </c>
      <c r="V77" s="62">
        <f>IF(AND(OR(smp_act_view_idx=1,smp_act_view_idx=4),20&lt;=smp_act_horizon_n),CHOOSE(smp_act_scn_idx,AX216,BY216,CZ216),"")</f>
        <v>1003.5170833333335</v>
      </c>
      <c r="W77" s="62">
        <f>IF(AND(OR(smp_act_view_idx=1,smp_act_view_idx=4),21&lt;=smp_act_horizon_n),CHOOSE(smp_act_scn_idx,AY216,BZ216,DA216),"")</f>
        <v>944.49166666666679</v>
      </c>
      <c r="X77" s="62">
        <f>IF(AND(OR(smp_act_view_idx=1,smp_act_view_idx=4),22&lt;=smp_act_horizon_n),CHOOSE(smp_act_scn_idx,AZ216,CA216,DB216),"")</f>
        <v>885.46625000000006</v>
      </c>
      <c r="Y77" s="62">
        <f>IF(AND(OR(smp_act_view_idx=1,smp_act_view_idx=4),23&lt;=smp_act_horizon_n),CHOOSE(smp_act_scn_idx,BA216,CB216,DC216),"")</f>
        <v>826.44083333333344</v>
      </c>
      <c r="Z77" s="62">
        <f>IF(AND(OR(smp_act_view_idx=1,smp_act_view_idx=4),24&lt;=smp_act_horizon_n),CHOOSE(smp_act_scn_idx,BB216,CC216,DD216),"")</f>
        <v>767.41541666666672</v>
      </c>
      <c r="AA77" s="1"/>
      <c r="AB77" s="63">
        <f>IF(OR(smp_act_view_idx=1,smp_act_view_idx=4),CHOOSE(smp_act_scn_idx,BC216,CD216,DE216),"")</f>
        <v>21604.322500000002</v>
      </c>
      <c r="AC77" s="63">
        <f>IF(AND(OR(smp_act_view_idx=1,smp_act_view_idx=4),smp_act_horizon_n&gt;=24),CHOOSE(smp_act_scn_idx,BD216,CE216,DF216),"")</f>
        <v>13104.662500000002</v>
      </c>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c r="DH77"/>
    </row>
    <row r="78" spans="1:112" ht="20" customHeight="1" x14ac:dyDescent="0.2">
      <c r="A78" s="1"/>
      <c r="B78" s="22" t="str">
        <f>IF(OR(smp_act_view_idx=1,smp_act_view_idx=4),"   Income tax expense","")</f>
        <v xml:space="preserve">   Income tax expense</v>
      </c>
      <c r="C78" s="62">
        <f>IF(AND(OR(smp_act_view_idx=1,smp_act_view_idx=4),1&lt;=smp_act_horizon_n),CHOOSE(smp_act_scn_idx,AE218,BF218,CG218),"")</f>
        <v>12270.508333333331</v>
      </c>
      <c r="D78" s="62">
        <f>IF(AND(OR(smp_act_view_idx=1,smp_act_view_idx=4),2&lt;=smp_act_horizon_n),CHOOSE(smp_act_scn_idx,AF218,BG218,CH218),"")</f>
        <v>14766.3146875</v>
      </c>
      <c r="E78" s="62">
        <f>IF(AND(OR(smp_act_view_idx=1,smp_act_view_idx=4),3&lt;=smp_act_horizon_n),CHOOSE(smp_act_scn_idx,AG218,BH218,CI218),"")</f>
        <v>17618.081041666661</v>
      </c>
      <c r="F78" s="62">
        <f>IF(AND(OR(smp_act_view_idx=1,smp_act_view_idx=4),4&lt;=smp_act_horizon_n),CHOOSE(smp_act_scn_idx,AH218,BI218,CJ218),"")</f>
        <v>20270.307395833344</v>
      </c>
      <c r="G78" s="62">
        <f>IF(AND(OR(smp_act_view_idx=1,smp_act_view_idx=4),5&lt;=smp_act_horizon_n),CHOOSE(smp_act_scn_idx,AI218,BJ218,CK218),"")</f>
        <v>22733.773750000011</v>
      </c>
      <c r="H78" s="62">
        <f>IF(AND(OR(smp_act_view_idx=1,smp_act_view_idx=4),6&lt;=smp_act_horizon_n),CHOOSE(smp_act_scn_idx,AJ218,BK218,CL218),"")</f>
        <v>22133.520104166677</v>
      </c>
      <c r="I78" s="62">
        <f>IF(AND(OR(smp_act_view_idx=1,smp_act_view_idx=4),7&lt;=smp_act_horizon_n),CHOOSE(smp_act_scn_idx,AK218,BL218,CM218),"")</f>
        <v>21344.506458333337</v>
      </c>
      <c r="J78" s="62">
        <f>IF(AND(OR(smp_act_view_idx=1,smp_act_view_idx=4),8&lt;=smp_act_horizon_n),CHOOSE(smp_act_scn_idx,AL218,BM218,CN218),"")</f>
        <v>21502.097812499997</v>
      </c>
      <c r="K78" s="62">
        <f>IF(AND(OR(smp_act_view_idx=1,smp_act_view_idx=4),9&lt;=smp_act_horizon_n),CHOOSE(smp_act_scn_idx,AM218,BN218,CO218),"")</f>
        <v>24154.32416666668</v>
      </c>
      <c r="L78" s="62">
        <f>IF(AND(OR(smp_act_view_idx=1,smp_act_view_idx=4),10&lt;=smp_act_horizon_n),CHOOSE(smp_act_scn_idx,AN218,BO218,CP218),"")</f>
        <v>26628.570520833342</v>
      </c>
      <c r="M78" s="62">
        <f>IF(AND(OR(smp_act_view_idx=1,smp_act_view_idx=4),11&lt;=smp_act_horizon_n),CHOOSE(smp_act_scn_idx,AO218,BP218,CQ218),"")</f>
        <v>28522.95187500001</v>
      </c>
      <c r="N78" s="62">
        <f>IF(AND(OR(smp_act_view_idx=1,smp_act_view_idx=4),12&lt;=smp_act_horizon_n),CHOOSE(smp_act_scn_idx,AP218,BQ218,CR218),"")</f>
        <v>28869.303229166679</v>
      </c>
      <c r="O78" s="62">
        <f>IF(AND(OR(smp_act_view_idx=1,smp_act_view_idx=4),13&lt;=smp_act_horizon_n),CHOOSE(smp_act_scn_idx,AQ218,BR218,CS218),"")</f>
        <v>28959.629583333342</v>
      </c>
      <c r="P78" s="62">
        <f>IF(AND(OR(smp_act_view_idx=1,smp_act_view_idx=4),14&lt;=smp_act_horizon_n),CHOOSE(smp_act_scn_idx,AR218,BS218,CT218),"")</f>
        <v>31245.115937499999</v>
      </c>
      <c r="Q78" s="62">
        <f>IF(AND(OR(smp_act_view_idx=1,smp_act_view_idx=4),15&lt;=smp_act_horizon_n),CHOOSE(smp_act_scn_idx,AS218,BT218,CU218),"")</f>
        <v>33530.602291666662</v>
      </c>
      <c r="R78" s="62">
        <f>IF(AND(OR(smp_act_view_idx=1,smp_act_view_idx=4),16&lt;=smp_act_horizon_n),CHOOSE(smp_act_scn_idx,AT218,BU218,CV218),"")</f>
        <v>36182.828645833331</v>
      </c>
      <c r="S78" s="62">
        <f>IF(AND(OR(smp_act_view_idx=1,smp_act_view_idx=4),17&lt;=smp_act_horizon_n),CHOOSE(smp_act_scn_idx,AU218,BV218,CW218),"")</f>
        <v>38066.43</v>
      </c>
      <c r="T78" s="62">
        <f>IF(AND(OR(smp_act_view_idx=1,smp_act_view_idx=4),18&lt;=smp_act_horizon_n),CHOOSE(smp_act_scn_idx,AV218,BW218,CX218),"")</f>
        <v>38046.041354166664</v>
      </c>
      <c r="U78" s="62">
        <f>IF(AND(OR(smp_act_view_idx=1,smp_act_view_idx=4),19&lt;=smp_act_horizon_n),CHOOSE(smp_act_scn_idx,AW218,BX218,CY218),"")</f>
        <v>37257.02770833332</v>
      </c>
      <c r="V78" s="62">
        <f>IF(AND(OR(smp_act_view_idx=1,smp_act_view_idx=4),20&lt;=smp_act_horizon_n),CHOOSE(smp_act_scn_idx,AX218,BY218,CZ218),"")</f>
        <v>37603.379062499989</v>
      </c>
      <c r="W78" s="62">
        <f>IF(AND(OR(smp_act_view_idx=1,smp_act_view_idx=4),21&lt;=smp_act_horizon_n),CHOOSE(smp_act_scn_idx,AY218,BZ218,DA218),"")</f>
        <v>39155.385416666657</v>
      </c>
      <c r="X78" s="62">
        <f>IF(AND(OR(smp_act_view_idx=1,smp_act_view_idx=4),22&lt;=smp_act_horizon_n),CHOOSE(smp_act_scn_idx,AZ218,CA218,DB218),"")</f>
        <v>40707.391770833325</v>
      </c>
      <c r="Y78" s="62">
        <f>IF(AND(OR(smp_act_view_idx=1,smp_act_view_idx=4),23&lt;=smp_act_horizon_n),CHOOSE(smp_act_scn_idx,BA218,CB218,DC218),"")</f>
        <v>41490.773124999992</v>
      </c>
      <c r="Z78" s="62">
        <f>IF(AND(OR(smp_act_view_idx=1,smp_act_view_idx=4),24&lt;=smp_act_horizon_n),CHOOSE(smp_act_scn_idx,BB218,CC218,DD218),"")</f>
        <v>40736.90447916666</v>
      </c>
      <c r="AA78" s="1"/>
      <c r="AB78" s="63">
        <f>IF(OR(smp_act_view_idx=1,smp_act_view_idx=4),CHOOSE(smp_act_scn_idx,BC218,CD218,DE218),"")</f>
        <v>260814.25937500005</v>
      </c>
      <c r="AC78" s="63">
        <f>IF(AND(OR(smp_act_view_idx=1,smp_act_view_idx=4),smp_act_horizon_n&gt;=24),CHOOSE(smp_act_scn_idx,BD218,CE218,DF218),"")</f>
        <v>442981.50937499997</v>
      </c>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c r="DH78"/>
    </row>
    <row r="79" spans="1:112" ht="20" customHeight="1" x14ac:dyDescent="0.2">
      <c r="A79" s="1"/>
      <c r="B79" s="66" t="str">
        <f>IF(OR(smp_act_view_idx=1,smp_act_view_idx=4),"NET PROFIT","")</f>
        <v>NET PROFIT</v>
      </c>
      <c r="C79" s="67">
        <f>IF(AND(OR(smp_act_view_idx=1,smp_act_view_idx=4),1&lt;=smp_act_horizon_n),CHOOSE(smp_act_scn_idx,AE219,BF219,CG219),"")</f>
        <v>36811.524999999994</v>
      </c>
      <c r="D79" s="67">
        <f>IF(AND(OR(smp_act_view_idx=1,smp_act_view_idx=4),2&lt;=smp_act_horizon_n),CHOOSE(smp_act_scn_idx,AF219,BG219,CH219),"")</f>
        <v>44298.944062499999</v>
      </c>
      <c r="E79" s="67">
        <f>IF(AND(OR(smp_act_view_idx=1,smp_act_view_idx=4),3&lt;=smp_act_horizon_n),CHOOSE(smp_act_scn_idx,AG219,BH219,CI219),"")</f>
        <v>52854.243124999979</v>
      </c>
      <c r="F79" s="67">
        <f>IF(AND(OR(smp_act_view_idx=1,smp_act_view_idx=4),4&lt;=smp_act_horizon_n),CHOOSE(smp_act_scn_idx,AH219,BI219,CJ219),"")</f>
        <v>60810.922187500037</v>
      </c>
      <c r="G79" s="67">
        <f>IF(AND(OR(smp_act_view_idx=1,smp_act_view_idx=4),5&lt;=smp_act_horizon_n),CHOOSE(smp_act_scn_idx,AI219,BJ219,CK219),"")</f>
        <v>68201.321250000037</v>
      </c>
      <c r="H79" s="67">
        <f>IF(AND(OR(smp_act_view_idx=1,smp_act_view_idx=4),6&lt;=smp_act_horizon_n),CHOOSE(smp_act_scn_idx,AJ219,BK219,CL219),"")</f>
        <v>66400.560312500034</v>
      </c>
      <c r="I79" s="67">
        <f>IF(AND(OR(smp_act_view_idx=1,smp_act_view_idx=4),7&lt;=smp_act_horizon_n),CHOOSE(smp_act_scn_idx,AK219,BL219,CM219),"")</f>
        <v>64033.519375000011</v>
      </c>
      <c r="J79" s="67">
        <f>IF(AND(OR(smp_act_view_idx=1,smp_act_view_idx=4),8&lt;=smp_act_horizon_n),CHOOSE(smp_act_scn_idx,AL219,BM219,CN219),"")</f>
        <v>64506.29343749999</v>
      </c>
      <c r="K79" s="67">
        <f>IF(AND(OR(smp_act_view_idx=1,smp_act_view_idx=4),9&lt;=smp_act_horizon_n),CHOOSE(smp_act_scn_idx,AM219,BN219,CO219),"")</f>
        <v>72462.972500000033</v>
      </c>
      <c r="L79" s="67">
        <f>IF(AND(OR(smp_act_view_idx=1,smp_act_view_idx=4),10&lt;=smp_act_horizon_n),CHOOSE(smp_act_scn_idx,AN219,BO219,CP219),"")</f>
        <v>79885.71156250003</v>
      </c>
      <c r="M79" s="67">
        <f>IF(AND(OR(smp_act_view_idx=1,smp_act_view_idx=4),11&lt;=smp_act_horizon_n),CHOOSE(smp_act_scn_idx,AO219,BP219,CQ219),"")</f>
        <v>85568.855625000026</v>
      </c>
      <c r="N79" s="67">
        <f>IF(AND(OR(smp_act_view_idx=1,smp_act_view_idx=4),12&lt;=smp_act_horizon_n),CHOOSE(smp_act_scn_idx,AP219,BQ219,CR219),"")</f>
        <v>86607.90968750004</v>
      </c>
      <c r="O79" s="67">
        <f>IF(AND(OR(smp_act_view_idx=1,smp_act_view_idx=4),13&lt;=smp_act_horizon_n),CHOOSE(smp_act_scn_idx,AQ219,BR219,CS219),"")</f>
        <v>86878.888750000027</v>
      </c>
      <c r="P79" s="67">
        <f>IF(AND(OR(smp_act_view_idx=1,smp_act_view_idx=4),14&lt;=smp_act_horizon_n),CHOOSE(smp_act_scn_idx,AR219,BS219,CT219),"")</f>
        <v>93735.347812499997</v>
      </c>
      <c r="Q79" s="67">
        <f>IF(AND(OR(smp_act_view_idx=1,smp_act_view_idx=4),15&lt;=smp_act_horizon_n),CHOOSE(smp_act_scn_idx,AS219,BT219,CU219),"")</f>
        <v>100591.80687499998</v>
      </c>
      <c r="R79" s="67">
        <f>IF(AND(OR(smp_act_view_idx=1,smp_act_view_idx=4),16&lt;=smp_act_horizon_n),CHOOSE(smp_act_scn_idx,AT219,BU219,CV219),"")</f>
        <v>108548.48593749999</v>
      </c>
      <c r="S79" s="67">
        <f>IF(AND(OR(smp_act_view_idx=1,smp_act_view_idx=4),17&lt;=smp_act_horizon_n),CHOOSE(smp_act_scn_idx,AU219,BV219,CW219),"")</f>
        <v>114199.29000000001</v>
      </c>
      <c r="T79" s="67">
        <f>IF(AND(OR(smp_act_view_idx=1,smp_act_view_idx=4),18&lt;=smp_act_horizon_n),CHOOSE(smp_act_scn_idx,AV219,BW219,CX219),"")</f>
        <v>114138.12406249999</v>
      </c>
      <c r="U79" s="67">
        <f>IF(AND(OR(smp_act_view_idx=1,smp_act_view_idx=4),19&lt;=smp_act_horizon_n),CHOOSE(smp_act_scn_idx,AW219,BX219,CY219),"")</f>
        <v>111771.08312499996</v>
      </c>
      <c r="V79" s="67">
        <f>IF(AND(OR(smp_act_view_idx=1,smp_act_view_idx=4),20&lt;=smp_act_horizon_n),CHOOSE(smp_act_scn_idx,AX219,BY219,CZ219),"")</f>
        <v>112810.13718749996</v>
      </c>
      <c r="W79" s="67">
        <f>IF(AND(OR(smp_act_view_idx=1,smp_act_view_idx=4),21&lt;=smp_act_horizon_n),CHOOSE(smp_act_scn_idx,AY219,BZ219,DA219),"")</f>
        <v>117466.15624999997</v>
      </c>
      <c r="X79" s="67">
        <f>IF(AND(OR(smp_act_view_idx=1,smp_act_view_idx=4),22&lt;=smp_act_horizon_n),CHOOSE(smp_act_scn_idx,AZ219,CA219,DB219),"")</f>
        <v>122122.17531249998</v>
      </c>
      <c r="Y79" s="67">
        <f>IF(AND(OR(smp_act_view_idx=1,smp_act_view_idx=4),23&lt;=smp_act_horizon_n),CHOOSE(smp_act_scn_idx,BA219,CB219,DC219),"")</f>
        <v>124472.31937499998</v>
      </c>
      <c r="Z79" s="67">
        <f>IF(AND(OR(smp_act_view_idx=1,smp_act_view_idx=4),24&lt;=smp_act_horizon_n),CHOOSE(smp_act_scn_idx,BB219,CC219,DD219),"")</f>
        <v>122210.71343749997</v>
      </c>
      <c r="AA79" s="1"/>
      <c r="AB79" s="67">
        <f>IF(OR(smp_act_view_idx=1,smp_act_view_idx=4),CHOOSE(smp_act_scn_idx,BC219,CD219,DE219),"")</f>
        <v>782442.77812500019</v>
      </c>
      <c r="AC79" s="67">
        <f>IF(AND(OR(smp_act_view_idx=1,smp_act_view_idx=4),smp_act_horizon_n&gt;=24),CHOOSE(smp_act_scn_idx,BD219,CE219,DF219),"")</f>
        <v>1328944.528125</v>
      </c>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c r="DH79"/>
    </row>
    <row r="80" spans="1:112" ht="20" customHeight="1" x14ac:dyDescent="0.2">
      <c r="A80" s="1"/>
      <c r="B80" s="23" t="str">
        <f>IF(OR(smp_act_view_idx=1,smp_act_view_idx=4),"   Net margin %","")</f>
        <v xml:space="preserve">   Net margin %</v>
      </c>
      <c r="C80" s="68">
        <f>IF(AND(OR(smp_act_view_idx=1,smp_act_view_idx=4),1&lt;=smp_act_horizon_n),CHOOSE(smp_act_scn_idx,AE220,BF220,CG220),"")</f>
        <v>9.2958396464646445E-2</v>
      </c>
      <c r="D80" s="68">
        <f>IF(AND(OR(smp_act_view_idx=1,smp_act_view_idx=4),2&lt;=smp_act_horizon_n),CHOOSE(smp_act_scn_idx,AF220,BG220,CH220),"")</f>
        <v>0.10739137954545454</v>
      </c>
      <c r="E80" s="68">
        <f>IF(AND(OR(smp_act_view_idx=1,smp_act_view_idx=4),3&lt;=smp_act_horizon_n),CHOOSE(smp_act_scn_idx,AG220,BH220,CI220),"")</f>
        <v>0.12257477533627083</v>
      </c>
      <c r="F80" s="68">
        <f>IF(AND(OR(smp_act_view_idx=1,smp_act_view_idx=4),4&lt;=smp_act_horizon_n),CHOOSE(smp_act_scn_idx,AH220,BI220,CJ220),"")</f>
        <v>0.13549670719139936</v>
      </c>
      <c r="G80" s="68">
        <f>IF(AND(OR(smp_act_view_idx=1,smp_act_view_idx=4),5&lt;=smp_act_horizon_n),CHOOSE(smp_act_scn_idx,AI220,BJ220,CK220),"")</f>
        <v>0.14657494358478407</v>
      </c>
      <c r="H80" s="68">
        <f>IF(AND(OR(smp_act_view_idx=1,smp_act_view_idx=4),6&lt;=smp_act_horizon_n),CHOOSE(smp_act_scn_idx,AJ220,BK220,CL220),"")</f>
        <v>0.14441183191061335</v>
      </c>
      <c r="I80" s="68">
        <f>IF(AND(OR(smp_act_view_idx=1,smp_act_view_idx=4),7&lt;=smp_act_horizon_n),CHOOSE(smp_act_scn_idx,AK220,BL220,CM220),"")</f>
        <v>0.14129196684686676</v>
      </c>
      <c r="J80" s="68">
        <f>IF(AND(OR(smp_act_view_idx=1,smp_act_view_idx=4),8&lt;=smp_act_horizon_n),CHOOSE(smp_act_scn_idx,AL220,BM220,CN220),"")</f>
        <v>0.14233515762908205</v>
      </c>
      <c r="K80" s="68">
        <f>IF(AND(OR(smp_act_view_idx=1,smp_act_view_idx=4),9&lt;=smp_act_horizon_n),CHOOSE(smp_act_scn_idx,AM220,BN220,CO220),"")</f>
        <v>0.15391455501274431</v>
      </c>
      <c r="L80" s="68">
        <f>IF(AND(OR(smp_act_view_idx=1,smp_act_view_idx=4),10&lt;=smp_act_horizon_n),CHOOSE(smp_act_scn_idx,AN220,BO220,CP220),"")</f>
        <v>0.16393538182331216</v>
      </c>
      <c r="M80" s="68">
        <f>IF(AND(OR(smp_act_view_idx=1,smp_act_view_idx=4),11&lt;=smp_act_horizon_n),CHOOSE(smp_act_scn_idx,AO220,BP220,CQ220),"")</f>
        <v>0.17134332323788548</v>
      </c>
      <c r="N80" s="68">
        <f>IF(AND(OR(smp_act_view_idx=1,smp_act_view_idx=4),12&lt;=smp_act_horizon_n),CHOOSE(smp_act_scn_idx,AP220,BQ220,CR220),"")</f>
        <v>0.17304277659840167</v>
      </c>
      <c r="O80" s="68">
        <f>IF(AND(OR(smp_act_view_idx=1,smp_act_view_idx=4),13&lt;=smp_act_horizon_n),CHOOSE(smp_act_scn_idx,AQ220,BR220,CS220),"")</f>
        <v>0.17320352621610849</v>
      </c>
      <c r="P80" s="68">
        <f>IF(AND(OR(smp_act_view_idx=1,smp_act_view_idx=4),14&lt;=smp_act_horizon_n),CHOOSE(smp_act_scn_idx,AR220,BS220,CT220),"")</f>
        <v>0.18130628203578336</v>
      </c>
      <c r="Q80" s="68">
        <f>IF(AND(OR(smp_act_view_idx=1,smp_act_view_idx=4),15&lt;=smp_act_horizon_n),CHOOSE(smp_act_scn_idx,AS220,BT220,CU220),"")</f>
        <v>0.18894028338655142</v>
      </c>
      <c r="R80" s="68">
        <f>IF(AND(OR(smp_act_view_idx=1,smp_act_view_idx=4),16&lt;=smp_act_horizon_n),CHOOSE(smp_act_scn_idx,AT220,BU220,CV220),"")</f>
        <v>0.19736088352272727</v>
      </c>
      <c r="S80" s="68">
        <f>IF(AND(OR(smp_act_view_idx=1,smp_act_view_idx=4),17&lt;=smp_act_horizon_n),CHOOSE(smp_act_scn_idx,AU220,BV220,CW220),"")</f>
        <v>0.20316543319694005</v>
      </c>
      <c r="T80" s="68">
        <f>IF(AND(OR(smp_act_view_idx=1,smp_act_view_idx=4),18&lt;=smp_act_horizon_n),CHOOSE(smp_act_scn_idx,AV220,BW220,CX220),"")</f>
        <v>0.20345476659982173</v>
      </c>
      <c r="U80" s="68">
        <f>IF(AND(OR(smp_act_view_idx=1,smp_act_view_idx=4),19&lt;=smp_act_horizon_n),CHOOSE(smp_act_scn_idx,AW220,BX220,CY220),"")</f>
        <v>0.20160729279401146</v>
      </c>
      <c r="V80" s="68">
        <f>IF(AND(OR(smp_act_view_idx=1,smp_act_view_idx=4),20&lt;=smp_act_horizon_n),CHOOSE(smp_act_scn_idx,AX220,BY220,CZ220),"")</f>
        <v>0.20307855479297923</v>
      </c>
      <c r="W80" s="68">
        <f>IF(AND(OR(smp_act_view_idx=1,smp_act_view_idx=4),21&lt;=smp_act_horizon_n),CHOOSE(smp_act_scn_idx,AY220,BZ220,DA220),"")</f>
        <v>0.20735420344218883</v>
      </c>
      <c r="X80" s="68">
        <f>IF(AND(OR(smp_act_view_idx=1,smp_act_view_idx=4),22&lt;=smp_act_horizon_n),CHOOSE(smp_act_scn_idx,AZ220,CA220,DB220),"")</f>
        <v>0.21146697023809521</v>
      </c>
      <c r="Y80" s="68">
        <f>IF(AND(OR(smp_act_view_idx=1,smp_act_view_idx=4),23&lt;=smp_act_horizon_n),CHOOSE(smp_act_scn_idx,BA220,CB220,DC220),"")</f>
        <v>0.2135031207118353</v>
      </c>
      <c r="Z80" s="68">
        <f>IF(AND(OR(smp_act_view_idx=1,smp_act_view_idx=4),24&lt;=smp_act_horizon_n),CHOOSE(smp_act_scn_idx,BB220,CC220,DD220),"")</f>
        <v>0.21162028300865796</v>
      </c>
      <c r="AA80" s="1"/>
      <c r="AB80" s="68">
        <f>IF(OR(smp_act_view_idx=1,smp_act_view_idx=4),CHOOSE(smp_act_scn_idx,BC220,CD220,DE220),"")</f>
        <v>0.14283365792716324</v>
      </c>
      <c r="AC80" s="68">
        <f>IF(AND(OR(smp_act_view_idx=1,smp_act_view_idx=4),smp_act_horizon_n&gt;=24),CHOOSE(smp_act_scn_idx,BD220,CE220,DF220),"")</f>
        <v>0.20018747128492881</v>
      </c>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c r="DH80"/>
    </row>
    <row r="81" spans="1:112" ht="20" customHeight="1" x14ac:dyDescent="0.2">
      <c r="A81" s="1"/>
      <c r="B81" s="60" t="str">
        <f>IF(OR(smp_act_view_idx=2,smp_act_view_idx=4),"■ CASH FLOW STATEMENT (indirect method)","")</f>
        <v>■ CASH FLOW STATEMENT (indirect method)</v>
      </c>
      <c r="C81" s="20"/>
      <c r="D81" s="20"/>
      <c r="E81" s="20"/>
      <c r="F81" s="20"/>
      <c r="G81" s="20"/>
      <c r="H81" s="20"/>
      <c r="I81" s="20"/>
      <c r="J81" s="20"/>
      <c r="K81" s="20"/>
      <c r="L81" s="20"/>
      <c r="M81" s="20"/>
      <c r="N81" s="20"/>
      <c r="O81" s="20"/>
      <c r="P81" s="20"/>
      <c r="Q81" s="20"/>
      <c r="R81" s="20"/>
      <c r="S81" s="20"/>
      <c r="T81" s="20"/>
      <c r="U81" s="20"/>
      <c r="V81" s="20"/>
      <c r="W81" s="20"/>
      <c r="X81" s="20"/>
      <c r="Y81" s="20"/>
      <c r="Z81" s="20"/>
      <c r="AA81" s="20"/>
      <c r="AB81" s="20"/>
      <c r="AC81" s="20"/>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c r="DH81"/>
    </row>
    <row r="82" spans="1:112" ht="20" customHeight="1" x14ac:dyDescent="0.2">
      <c r="A82" s="1"/>
      <c r="B82" s="61" t="str">
        <f>IF(OR(smp_act_view_idx=2,smp_act_view_idx=4),"OPERATING CASH FLOW","")</f>
        <v>OPERATING CASH FLOW</v>
      </c>
      <c r="C82" s="2"/>
      <c r="D82" s="2"/>
      <c r="E82" s="2"/>
      <c r="F82" s="2"/>
      <c r="G82" s="2"/>
      <c r="H82" s="2"/>
      <c r="I82" s="2"/>
      <c r="J82" s="2"/>
      <c r="K82" s="2"/>
      <c r="L82" s="2"/>
      <c r="M82" s="2"/>
      <c r="N82" s="2"/>
      <c r="O82" s="2"/>
      <c r="P82" s="2"/>
      <c r="Q82" s="2"/>
      <c r="R82" s="2"/>
      <c r="S82" s="2"/>
      <c r="T82" s="2"/>
      <c r="U82" s="2"/>
      <c r="V82" s="2"/>
      <c r="W82" s="2"/>
      <c r="X82" s="2"/>
      <c r="Y82" s="2"/>
      <c r="Z82" s="2"/>
      <c r="AA82" s="1"/>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c r="DH82"/>
    </row>
    <row r="83" spans="1:112" ht="20" customHeight="1" x14ac:dyDescent="0.2">
      <c r="A83" s="1"/>
      <c r="B83" s="22" t="str">
        <f>IF(OR(smp_act_view_idx=2,smp_act_view_idx=4),"   Net profit","")</f>
        <v xml:space="preserve">   Net profit</v>
      </c>
      <c r="C83" s="62">
        <f>IF(AND(OR(smp_act_view_idx=2,smp_act_view_idx=4),1&lt;=smp_act_horizon_n),CHOOSE(smp_act_scn_idx,AE219,BF219,CG219),"")</f>
        <v>36811.524999999994</v>
      </c>
      <c r="D83" s="62">
        <f>IF(AND(OR(smp_act_view_idx=2,smp_act_view_idx=4),2&lt;=smp_act_horizon_n),CHOOSE(smp_act_scn_idx,AF219,BG219,CH219),"")</f>
        <v>44298.944062499999</v>
      </c>
      <c r="E83" s="62">
        <f>IF(AND(OR(smp_act_view_idx=2,smp_act_view_idx=4),3&lt;=smp_act_horizon_n),CHOOSE(smp_act_scn_idx,AG219,BH219,CI219),"")</f>
        <v>52854.243124999979</v>
      </c>
      <c r="F83" s="62">
        <f>IF(AND(OR(smp_act_view_idx=2,smp_act_view_idx=4),4&lt;=smp_act_horizon_n),CHOOSE(smp_act_scn_idx,AH219,BI219,CJ219),"")</f>
        <v>60810.922187500037</v>
      </c>
      <c r="G83" s="62">
        <f>IF(AND(OR(smp_act_view_idx=2,smp_act_view_idx=4),5&lt;=smp_act_horizon_n),CHOOSE(smp_act_scn_idx,AI219,BJ219,CK219),"")</f>
        <v>68201.321250000037</v>
      </c>
      <c r="H83" s="62">
        <f>IF(AND(OR(smp_act_view_idx=2,smp_act_view_idx=4),6&lt;=smp_act_horizon_n),CHOOSE(smp_act_scn_idx,AJ219,BK219,CL219),"")</f>
        <v>66400.560312500034</v>
      </c>
      <c r="I83" s="62">
        <f>IF(AND(OR(smp_act_view_idx=2,smp_act_view_idx=4),7&lt;=smp_act_horizon_n),CHOOSE(smp_act_scn_idx,AK219,BL219,CM219),"")</f>
        <v>64033.519375000011</v>
      </c>
      <c r="J83" s="62">
        <f>IF(AND(OR(smp_act_view_idx=2,smp_act_view_idx=4),8&lt;=smp_act_horizon_n),CHOOSE(smp_act_scn_idx,AL219,BM219,CN219),"")</f>
        <v>64506.29343749999</v>
      </c>
      <c r="K83" s="62">
        <f>IF(AND(OR(smp_act_view_idx=2,smp_act_view_idx=4),9&lt;=smp_act_horizon_n),CHOOSE(smp_act_scn_idx,AM219,BN219,CO219),"")</f>
        <v>72462.972500000033</v>
      </c>
      <c r="L83" s="62">
        <f>IF(AND(OR(smp_act_view_idx=2,smp_act_view_idx=4),10&lt;=smp_act_horizon_n),CHOOSE(smp_act_scn_idx,AN219,BO219,CP219),"")</f>
        <v>79885.71156250003</v>
      </c>
      <c r="M83" s="62">
        <f>IF(AND(OR(smp_act_view_idx=2,smp_act_view_idx=4),11&lt;=smp_act_horizon_n),CHOOSE(smp_act_scn_idx,AO219,BP219,CQ219),"")</f>
        <v>85568.855625000026</v>
      </c>
      <c r="N83" s="62">
        <f>IF(AND(OR(smp_act_view_idx=2,smp_act_view_idx=4),12&lt;=smp_act_horizon_n),CHOOSE(smp_act_scn_idx,AP219,BQ219,CR219),"")</f>
        <v>86607.90968750004</v>
      </c>
      <c r="O83" s="62">
        <f>IF(AND(OR(smp_act_view_idx=2,smp_act_view_idx=4),13&lt;=smp_act_horizon_n),CHOOSE(smp_act_scn_idx,AQ219,BR219,CS219),"")</f>
        <v>86878.888750000027</v>
      </c>
      <c r="P83" s="62">
        <f>IF(AND(OR(smp_act_view_idx=2,smp_act_view_idx=4),14&lt;=smp_act_horizon_n),CHOOSE(smp_act_scn_idx,AR219,BS219,CT219),"")</f>
        <v>93735.347812499997</v>
      </c>
      <c r="Q83" s="62">
        <f>IF(AND(OR(smp_act_view_idx=2,smp_act_view_idx=4),15&lt;=smp_act_horizon_n),CHOOSE(smp_act_scn_idx,AS219,BT219,CU219),"")</f>
        <v>100591.80687499998</v>
      </c>
      <c r="R83" s="62">
        <f>IF(AND(OR(smp_act_view_idx=2,smp_act_view_idx=4),16&lt;=smp_act_horizon_n),CHOOSE(smp_act_scn_idx,AT219,BU219,CV219),"")</f>
        <v>108548.48593749999</v>
      </c>
      <c r="S83" s="62">
        <f>IF(AND(OR(smp_act_view_idx=2,smp_act_view_idx=4),17&lt;=smp_act_horizon_n),CHOOSE(smp_act_scn_idx,AU219,BV219,CW219),"")</f>
        <v>114199.29000000001</v>
      </c>
      <c r="T83" s="62">
        <f>IF(AND(OR(smp_act_view_idx=2,smp_act_view_idx=4),18&lt;=smp_act_horizon_n),CHOOSE(smp_act_scn_idx,AV219,BW219,CX219),"")</f>
        <v>114138.12406249999</v>
      </c>
      <c r="U83" s="62">
        <f>IF(AND(OR(smp_act_view_idx=2,smp_act_view_idx=4),19&lt;=smp_act_horizon_n),CHOOSE(smp_act_scn_idx,AW219,BX219,CY219),"")</f>
        <v>111771.08312499996</v>
      </c>
      <c r="V83" s="62">
        <f>IF(AND(OR(smp_act_view_idx=2,smp_act_view_idx=4),20&lt;=smp_act_horizon_n),CHOOSE(smp_act_scn_idx,AX219,BY219,CZ219),"")</f>
        <v>112810.13718749996</v>
      </c>
      <c r="W83" s="62">
        <f>IF(AND(OR(smp_act_view_idx=2,smp_act_view_idx=4),21&lt;=smp_act_horizon_n),CHOOSE(smp_act_scn_idx,AY219,BZ219,DA219),"")</f>
        <v>117466.15624999997</v>
      </c>
      <c r="X83" s="62">
        <f>IF(AND(OR(smp_act_view_idx=2,smp_act_view_idx=4),22&lt;=smp_act_horizon_n),CHOOSE(smp_act_scn_idx,AZ219,CA219,DB219),"")</f>
        <v>122122.17531249998</v>
      </c>
      <c r="Y83" s="62">
        <f>IF(AND(OR(smp_act_view_idx=2,smp_act_view_idx=4),23&lt;=smp_act_horizon_n),CHOOSE(smp_act_scn_idx,BA219,CB219,DC219),"")</f>
        <v>124472.31937499998</v>
      </c>
      <c r="Z83" s="62">
        <f>IF(AND(OR(smp_act_view_idx=2,smp_act_view_idx=4),24&lt;=smp_act_horizon_n),CHOOSE(smp_act_scn_idx,BB219,CC219,DD219),"")</f>
        <v>122210.71343749997</v>
      </c>
      <c r="AA83" s="1"/>
      <c r="AB83" s="63">
        <f>IF(OR(smp_act_view_idx=2,smp_act_view_idx=4),CHOOSE(smp_act_scn_idx,BC219,CD219,DE219),"")</f>
        <v>782442.77812500019</v>
      </c>
      <c r="AC83" s="63">
        <f>IF(AND(OR(smp_act_view_idx=2,smp_act_view_idx=4),smp_act_horizon_n&gt;=24),CHOOSE(smp_act_scn_idx,BD219,CE219,DF219),"")</f>
        <v>1328944.528125</v>
      </c>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c r="DH83"/>
    </row>
    <row r="84" spans="1:112" ht="20" customHeight="1" x14ac:dyDescent="0.2">
      <c r="A84" s="1"/>
      <c r="B84" s="22" t="str">
        <f>IF(OR(smp_act_view_idx=2,smp_act_view_idx=4),"   + Depreciation &amp; amortisation","")</f>
        <v xml:space="preserve">   + Depreciation &amp; amortisation</v>
      </c>
      <c r="C84" s="62">
        <f>IF(AND(OR(smp_act_view_idx=2,smp_act_view_idx=4),1&lt;=smp_act_horizon_n),CHOOSE(smp_act_scn_idx,AE213,BF213,CG213),"")</f>
        <v>3000</v>
      </c>
      <c r="D84" s="62">
        <f>IF(AND(OR(smp_act_view_idx=2,smp_act_view_idx=4),2&lt;=smp_act_horizon_n),CHOOSE(smp_act_scn_idx,AF213,BG213,CH213),"")</f>
        <v>3000</v>
      </c>
      <c r="E84" s="62">
        <f>IF(AND(OR(smp_act_view_idx=2,smp_act_view_idx=4),3&lt;=smp_act_horizon_n),CHOOSE(smp_act_scn_idx,AG213,BH213,CI213),"")</f>
        <v>3000</v>
      </c>
      <c r="F84" s="62">
        <f>IF(AND(OR(smp_act_view_idx=2,smp_act_view_idx=4),4&lt;=smp_act_horizon_n),CHOOSE(smp_act_scn_idx,AH213,BI213,CJ213),"")</f>
        <v>3000</v>
      </c>
      <c r="G84" s="62">
        <f>IF(AND(OR(smp_act_view_idx=2,smp_act_view_idx=4),5&lt;=smp_act_horizon_n),CHOOSE(smp_act_scn_idx,AI213,BJ213,CK213),"")</f>
        <v>3000</v>
      </c>
      <c r="H84" s="62">
        <f>IF(AND(OR(smp_act_view_idx=2,smp_act_view_idx=4),6&lt;=smp_act_horizon_n),CHOOSE(smp_act_scn_idx,AJ213,BK213,CL213),"")</f>
        <v>3000</v>
      </c>
      <c r="I84" s="62">
        <f>IF(AND(OR(smp_act_view_idx=2,smp_act_view_idx=4),7&lt;=smp_act_horizon_n),CHOOSE(smp_act_scn_idx,AK213,BL213,CM213),"")</f>
        <v>3000</v>
      </c>
      <c r="J84" s="62">
        <f>IF(AND(OR(smp_act_view_idx=2,smp_act_view_idx=4),8&lt;=smp_act_horizon_n),CHOOSE(smp_act_scn_idx,AL213,BM213,CN213),"")</f>
        <v>3000</v>
      </c>
      <c r="K84" s="62">
        <f>IF(AND(OR(smp_act_view_idx=2,smp_act_view_idx=4),9&lt;=smp_act_horizon_n),CHOOSE(smp_act_scn_idx,AM213,BN213,CO213),"")</f>
        <v>3000</v>
      </c>
      <c r="L84" s="62">
        <f>IF(AND(OR(smp_act_view_idx=2,smp_act_view_idx=4),10&lt;=smp_act_horizon_n),CHOOSE(smp_act_scn_idx,AN213,BO213,CP213),"")</f>
        <v>3000</v>
      </c>
      <c r="M84" s="62">
        <f>IF(AND(OR(smp_act_view_idx=2,smp_act_view_idx=4),11&lt;=smp_act_horizon_n),CHOOSE(smp_act_scn_idx,AO213,BP213,CQ213),"")</f>
        <v>3000</v>
      </c>
      <c r="N84" s="62">
        <f>IF(AND(OR(smp_act_view_idx=2,smp_act_view_idx=4),12&lt;=smp_act_horizon_n),CHOOSE(smp_act_scn_idx,AP213,BQ213,CR213),"")</f>
        <v>3000</v>
      </c>
      <c r="O84" s="62">
        <f>IF(AND(OR(smp_act_view_idx=2,smp_act_view_idx=4),13&lt;=smp_act_horizon_n),CHOOSE(smp_act_scn_idx,AQ213,BR213,CS213),"")</f>
        <v>3000</v>
      </c>
      <c r="P84" s="62">
        <f>IF(AND(OR(smp_act_view_idx=2,smp_act_view_idx=4),14&lt;=smp_act_horizon_n),CHOOSE(smp_act_scn_idx,AR213,BS213,CT213),"")</f>
        <v>3000</v>
      </c>
      <c r="Q84" s="62">
        <f>IF(AND(OR(smp_act_view_idx=2,smp_act_view_idx=4),15&lt;=smp_act_horizon_n),CHOOSE(smp_act_scn_idx,AS213,BT213,CU213),"")</f>
        <v>3000</v>
      </c>
      <c r="R84" s="62">
        <f>IF(AND(OR(smp_act_view_idx=2,smp_act_view_idx=4),16&lt;=smp_act_horizon_n),CHOOSE(smp_act_scn_idx,AT213,BU213,CV213),"")</f>
        <v>3000</v>
      </c>
      <c r="S84" s="62">
        <f>IF(AND(OR(smp_act_view_idx=2,smp_act_view_idx=4),17&lt;=smp_act_horizon_n),CHOOSE(smp_act_scn_idx,AU213,BV213,CW213),"")</f>
        <v>3000</v>
      </c>
      <c r="T84" s="62">
        <f>IF(AND(OR(smp_act_view_idx=2,smp_act_view_idx=4),18&lt;=smp_act_horizon_n),CHOOSE(smp_act_scn_idx,AV213,BW213,CX213),"")</f>
        <v>3000</v>
      </c>
      <c r="U84" s="62">
        <f>IF(AND(OR(smp_act_view_idx=2,smp_act_view_idx=4),19&lt;=smp_act_horizon_n),CHOOSE(smp_act_scn_idx,AW213,BX213,CY213),"")</f>
        <v>3000</v>
      </c>
      <c r="V84" s="62">
        <f>IF(AND(OR(smp_act_view_idx=2,smp_act_view_idx=4),20&lt;=smp_act_horizon_n),CHOOSE(smp_act_scn_idx,AX213,BY213,CZ213),"")</f>
        <v>3000</v>
      </c>
      <c r="W84" s="62">
        <f>IF(AND(OR(smp_act_view_idx=2,smp_act_view_idx=4),21&lt;=smp_act_horizon_n),CHOOSE(smp_act_scn_idx,AY213,BZ213,DA213),"")</f>
        <v>3000</v>
      </c>
      <c r="X84" s="62">
        <f>IF(AND(OR(smp_act_view_idx=2,smp_act_view_idx=4),22&lt;=smp_act_horizon_n),CHOOSE(smp_act_scn_idx,AZ213,CA213,DB213),"")</f>
        <v>3000</v>
      </c>
      <c r="Y84" s="62">
        <f>IF(AND(OR(smp_act_view_idx=2,smp_act_view_idx=4),23&lt;=smp_act_horizon_n),CHOOSE(smp_act_scn_idx,BA213,CB213,DC213),"")</f>
        <v>3000</v>
      </c>
      <c r="Z84" s="62">
        <f>IF(AND(OR(smp_act_view_idx=2,smp_act_view_idx=4),24&lt;=smp_act_horizon_n),CHOOSE(smp_act_scn_idx,BB213,CC213,DD213),"")</f>
        <v>3000</v>
      </c>
      <c r="AA84" s="1"/>
      <c r="AB84" s="63">
        <f>IF(OR(smp_act_view_idx=2,smp_act_view_idx=4),CHOOSE(smp_act_scn_idx,BC213,CD213,DE213),"")</f>
        <v>36000</v>
      </c>
      <c r="AC84" s="63">
        <f>IF(AND(OR(smp_act_view_idx=2,smp_act_view_idx=4),smp_act_horizon_n&gt;=24),CHOOSE(smp_act_scn_idx,BD213,CE213,DF213),"")</f>
        <v>36000</v>
      </c>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c r="DH84"/>
    </row>
    <row r="85" spans="1:112" ht="20" customHeight="1" x14ac:dyDescent="0.2">
      <c r="A85" s="1"/>
      <c r="B85" s="22" t="str">
        <f>IF(OR(smp_act_view_idx=2,smp_act_view_idx=4),"   − Increase in accounts receivable","")</f>
        <v xml:space="preserve">   − Increase in accounts receivable</v>
      </c>
      <c r="C85" s="62">
        <f>IF(AND(OR(smp_act_view_idx=2,smp_act_view_idx=4),1&lt;=smp_act_horizon_n),CHOOSE(smp_act_scn_idx,(-AE223),(-BF223),(-CG223)),"")</f>
        <v>-7000</v>
      </c>
      <c r="D85" s="62">
        <f>IF(AND(OR(smp_act_view_idx=2,smp_act_view_idx=4),2&lt;=smp_act_horizon_n),CHOOSE(smp_act_scn_idx,(-AF223),(-BG223),(-CH223)),"")</f>
        <v>-26125</v>
      </c>
      <c r="E85" s="62">
        <f>IF(AND(OR(smp_act_view_idx=2,smp_act_view_idx=4),3&lt;=smp_act_horizon_n),CHOOSE(smp_act_scn_idx,(-AG223),(-BH223),(-CI223)),"")</f>
        <v>-29608.333333333372</v>
      </c>
      <c r="F85" s="62">
        <f>IF(AND(OR(smp_act_view_idx=2,smp_act_view_idx=4),4&lt;=smp_act_horizon_n),CHOOSE(smp_act_scn_idx,(-AH223),(-BI223),(-CJ223)),"")</f>
        <v>-27866.666666666744</v>
      </c>
      <c r="G85" s="62">
        <f>IF(AND(OR(smp_act_view_idx=2,smp_act_view_idx=4),5&lt;=smp_act_horizon_n),CHOOSE(smp_act_scn_idx,(-AI223),(-BJ223),(-CK223)),"")</f>
        <v>-26125</v>
      </c>
      <c r="H85" s="62">
        <f>IF(AND(OR(smp_act_view_idx=2,smp_act_view_idx=4),6&lt;=smp_act_horizon_n),CHOOSE(smp_act_scn_idx,(-AJ223),(-BK223),(-CL223)),"")</f>
        <v>8708.3333333333721</v>
      </c>
      <c r="I85" s="62">
        <f>IF(AND(OR(smp_act_view_idx=2,smp_act_view_idx=4),7&lt;=smp_act_horizon_n),CHOOSE(smp_act_scn_idx,(-AK223),(-BL223),(-CM223)),"")</f>
        <v>10450.000000000116</v>
      </c>
      <c r="J85" s="62">
        <f>IF(AND(OR(smp_act_view_idx=2,smp_act_view_idx=4),8&lt;=smp_act_horizon_n),CHOOSE(smp_act_scn_idx,(-AL223),(-BM223),(-CN223)),"")</f>
        <v>0</v>
      </c>
      <c r="K85" s="62">
        <f>IF(AND(OR(smp_act_view_idx=2,smp_act_view_idx=4),9&lt;=smp_act_horizon_n),CHOOSE(smp_act_scn_idx,(-AM223),(-BN223),(-CO223)),"")</f>
        <v>-27866.666666666861</v>
      </c>
      <c r="L85" s="62">
        <f>IF(AND(OR(smp_act_view_idx=2,smp_act_view_idx=4),10&lt;=smp_act_horizon_n),CHOOSE(smp_act_scn_idx,(-AN223),(-BO223),(-CP223)),"")</f>
        <v>-26125</v>
      </c>
      <c r="M85" s="62">
        <f>IF(AND(OR(smp_act_view_idx=2,smp_act_view_idx=4),11&lt;=smp_act_horizon_n),CHOOSE(smp_act_scn_idx,(-AO223),(-BP223),(-CQ223)),"")</f>
        <v>-19158.333333333256</v>
      </c>
      <c r="N85" s="62">
        <f>IF(AND(OR(smp_act_view_idx=2,smp_act_view_idx=4),12&lt;=smp_act_horizon_n),CHOOSE(smp_act_scn_idx,(-AP223),(-BQ223),(-CR223)),"")</f>
        <v>-1741.6666666667443</v>
      </c>
      <c r="O85" s="62">
        <f>IF(AND(OR(smp_act_view_idx=2,smp_act_view_idx=4),13&lt;=smp_act_horizon_n),CHOOSE(smp_act_scn_idx,(-AQ223),(-BR223),(-CS223)),"")</f>
        <v>-1741.6666666666279</v>
      </c>
      <c r="P85" s="62">
        <f>IF(AND(OR(smp_act_view_idx=2,smp_act_view_idx=4),14&lt;=smp_act_horizon_n),CHOOSE(smp_act_scn_idx,(-AR223),(-BS223),(-CT223)),"")</f>
        <v>-24383.333333333256</v>
      </c>
      <c r="Q85" s="62">
        <f>IF(AND(OR(smp_act_view_idx=2,smp_act_view_idx=4),15&lt;=smp_act_horizon_n),CHOOSE(smp_act_scn_idx,(-AS223),(-BT223),(-CU223)),"")</f>
        <v>-24383.333333333256</v>
      </c>
      <c r="R85" s="62">
        <f>IF(AND(OR(smp_act_view_idx=2,smp_act_view_idx=4),16&lt;=smp_act_horizon_n),CHOOSE(smp_act_scn_idx,(-AT223),(-BU223),(-CV223)),"")</f>
        <v>-27866.666666666744</v>
      </c>
      <c r="S85" s="62">
        <f>IF(AND(OR(smp_act_view_idx=2,smp_act_view_idx=4),17&lt;=smp_act_horizon_n),CHOOSE(smp_act_scn_idx,(-AU223),(-BV223),(-CW223)),"")</f>
        <v>-19158.333333333256</v>
      </c>
      <c r="T85" s="62">
        <f>IF(AND(OR(smp_act_view_idx=2,smp_act_view_idx=4),18&lt;=smp_act_horizon_n),CHOOSE(smp_act_scn_idx,(-AV223),(-BW223),(-CX223)),"")</f>
        <v>1741.6666666666279</v>
      </c>
      <c r="U85" s="62">
        <f>IF(AND(OR(smp_act_view_idx=2,smp_act_view_idx=4),19&lt;=smp_act_horizon_n),CHOOSE(smp_act_scn_idx,(-AW223),(-BX223),(-CY223)),"")</f>
        <v>10450</v>
      </c>
      <c r="V85" s="62">
        <f>IF(AND(OR(smp_act_view_idx=2,smp_act_view_idx=4),20&lt;=smp_act_horizon_n),CHOOSE(smp_act_scn_idx,(-AX223),(-BY223),(-CZ223)),"")</f>
        <v>-1741.6666666666279</v>
      </c>
      <c r="W85" s="62">
        <f>IF(AND(OR(smp_act_view_idx=2,smp_act_view_idx=4),21&lt;=smp_act_horizon_n),CHOOSE(smp_act_scn_idx,(-AY223),(-BZ223),(-DA223)),"")</f>
        <v>-17416.666666666744</v>
      </c>
      <c r="X85" s="62">
        <f>IF(AND(OR(smp_act_view_idx=2,smp_act_view_idx=4),22&lt;=smp_act_horizon_n),CHOOSE(smp_act_scn_idx,(-AZ223),(-CA223),(-DB223)),"")</f>
        <v>-17416.666666666628</v>
      </c>
      <c r="Y85" s="62">
        <f>IF(AND(OR(smp_act_view_idx=2,smp_act_view_idx=4),23&lt;=smp_act_horizon_n),CHOOSE(smp_act_scn_idx,(-BA223),(-CB223),(-DC223)),"")</f>
        <v>-8708.3333333333721</v>
      </c>
      <c r="Z85" s="62">
        <f>IF(AND(OR(smp_act_view_idx=2,smp_act_view_idx=4),24&lt;=smp_act_horizon_n),CHOOSE(smp_act_scn_idx,(-BB223),(-CC223),(-DD223)),"")</f>
        <v>8708.3333333333721</v>
      </c>
      <c r="AA85" s="1"/>
      <c r="AB85" s="63">
        <f>IF(OR(smp_act_view_idx=2,smp_act_view_idx=4),CHOOSE(smp_act_scn_idx,(-BC223),(-CD223),(-DE223)),"")</f>
        <v>-172458.33333333349</v>
      </c>
      <c r="AC85" s="63">
        <f>IF(AND(OR(smp_act_view_idx=2,smp_act_view_idx=4),smp_act_horizon_n&gt;=24),CHOOSE(smp_act_scn_idx,(-BD223),(-CE223),(-DF223)),"")</f>
        <v>-121916.66666666651</v>
      </c>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c r="DH85"/>
    </row>
    <row r="86" spans="1:112" ht="20" customHeight="1" x14ac:dyDescent="0.2">
      <c r="A86" s="1"/>
      <c r="B86" s="22" t="str">
        <f>IF(OR(smp_act_view_idx=2,smp_act_view_idx=4),"   + Increase in accounts payable","")</f>
        <v xml:space="preserve">   + Increase in accounts payable</v>
      </c>
      <c r="C86" s="62">
        <f>IF(AND(OR(smp_act_view_idx=2,smp_act_view_idx=4),1&lt;=smp_act_horizon_n),CHOOSE(smp_act_scn_idx,AE226,BF226,CG226),"")</f>
        <v>-11821.829999999987</v>
      </c>
      <c r="D86" s="62">
        <f>IF(AND(OR(smp_act_view_idx=2,smp_act_view_idx=4),2&lt;=smp_act_horizon_n),CHOOSE(smp_act_scn_idx,AF226,BG226,CH226),"")</f>
        <v>5918.2200000000012</v>
      </c>
      <c r="E86" s="62">
        <f>IF(AND(OR(smp_act_view_idx=2,smp_act_view_idx=4),3&lt;=smp_act_horizon_n),CHOOSE(smp_act_scn_idx,AG226,BH226,CI226),"")</f>
        <v>6616.7640000000247</v>
      </c>
      <c r="F86" s="62">
        <f>IF(AND(OR(smp_act_view_idx=2,smp_act_view_idx=4),4&lt;=smp_act_horizon_n),CHOOSE(smp_act_scn_idx,AH226,BI226,CJ226),"")</f>
        <v>6345.1079999999783</v>
      </c>
      <c r="G86" s="62">
        <f>IF(AND(OR(smp_act_view_idx=2,smp_act_view_idx=4),5&lt;=smp_act_horizon_n),CHOOSE(smp_act_scn_idx,AI226,BJ226,CK226),"")</f>
        <v>6034.6440000000002</v>
      </c>
      <c r="H86" s="62">
        <f>IF(AND(OR(smp_act_view_idx=2,smp_act_view_idx=4),6&lt;=smp_act_horizon_n),CHOOSE(smp_act_scn_idx,AJ226,BK226,CL226),"")</f>
        <v>-2735.9640000000072</v>
      </c>
      <c r="I86" s="62">
        <f>IF(AND(OR(smp_act_view_idx=2,smp_act_view_idx=4),7&lt;=smp_act_horizon_n),CHOOSE(smp_act_scn_idx,AK226,BL226,CM226),"")</f>
        <v>-3046.4280000000144</v>
      </c>
      <c r="J86" s="62">
        <f>IF(AND(OR(smp_act_view_idx=2,smp_act_view_idx=4),8&lt;=smp_act_horizon_n),CHOOSE(smp_act_scn_idx,AL226,BM226,CN226),"")</f>
        <v>-514.20599999997648</v>
      </c>
      <c r="K86" s="62">
        <f>IF(AND(OR(smp_act_view_idx=2,smp_act_view_idx=4),9&lt;=smp_act_horizon_n),CHOOSE(smp_act_scn_idx,AM226,BN226,CO226),"")</f>
        <v>6345.1080000000075</v>
      </c>
      <c r="L86" s="62">
        <f>IF(AND(OR(smp_act_view_idx=2,smp_act_view_idx=4),10&lt;=smp_act_horizon_n),CHOOSE(smp_act_scn_idx,AN226,BO226,CP226),"")</f>
        <v>5995.8359999999811</v>
      </c>
      <c r="M86" s="62">
        <f>IF(AND(OR(smp_act_view_idx=2,smp_act_view_idx=4),11&lt;=smp_act_horizon_n),CHOOSE(smp_act_scn_idx,AO226,BP226,CQ226),"")</f>
        <v>4123.3500000000058</v>
      </c>
      <c r="N86" s="62">
        <f>IF(AND(OR(smp_act_view_idx=2,smp_act_view_idx=4),12&lt;=smp_act_horizon_n),CHOOSE(smp_act_scn_idx,AP226,BQ226,CR226),"")</f>
        <v>-203.74199999999837</v>
      </c>
      <c r="O86" s="62">
        <f>IF(AND(OR(smp_act_view_idx=2,smp_act_view_idx=4),13&lt;=smp_act_horizon_n),CHOOSE(smp_act_scn_idx,AQ226,BR226,CS226),"")</f>
        <v>717.94800000000396</v>
      </c>
      <c r="P86" s="62">
        <f>IF(AND(OR(smp_act_view_idx=2,smp_act_view_idx=4),14&lt;=smp_act_horizon_n),CHOOSE(smp_act_scn_idx,AR226,BS226,CT226),"")</f>
        <v>5685.372000000003</v>
      </c>
      <c r="Q86" s="62">
        <f>IF(AND(OR(smp_act_view_idx=2,smp_act_view_idx=4),15&lt;=smp_act_horizon_n),CHOOSE(smp_act_scn_idx,AS226,BT226,CU226),"")</f>
        <v>5685.372000000003</v>
      </c>
      <c r="R86" s="62">
        <f>IF(AND(OR(smp_act_view_idx=2,smp_act_view_idx=4),16&lt;=smp_act_horizon_n),CHOOSE(smp_act_scn_idx,AT226,BU226,CV226),"")</f>
        <v>6345.1080000000075</v>
      </c>
      <c r="S86" s="62">
        <f>IF(AND(OR(smp_act_view_idx=2,smp_act_view_idx=4),17&lt;=smp_act_horizon_n),CHOOSE(smp_act_scn_idx,AU226,BV226,CW226),"")</f>
        <v>4162.1579999999958</v>
      </c>
      <c r="T86" s="62">
        <f>IF(AND(OR(smp_act_view_idx=2,smp_act_view_idx=4),18&lt;=smp_act_horizon_n),CHOOSE(smp_act_scn_idx,AV226,BW226,CX226),"")</f>
        <v>-863.47800000000279</v>
      </c>
      <c r="U86" s="62">
        <f>IF(AND(OR(smp_act_view_idx=2,smp_act_view_idx=4),19&lt;=smp_act_horizon_n),CHOOSE(smp_act_scn_idx,AW226,BX226,CY226),"")</f>
        <v>-3046.4279999999853</v>
      </c>
      <c r="V86" s="62">
        <f>IF(AND(OR(smp_act_view_idx=2,smp_act_view_idx=4),20&lt;=smp_act_horizon_n),CHOOSE(smp_act_scn_idx,AX226,BY226,CZ226),"")</f>
        <v>-203.74199999999837</v>
      </c>
      <c r="W86" s="62">
        <f>IF(AND(OR(smp_act_view_idx=2,smp_act_view_idx=4),21&lt;=smp_act_horizon_n),CHOOSE(smp_act_scn_idx,AY226,BZ226,DA226),"")</f>
        <v>4365.8999999999942</v>
      </c>
      <c r="X86" s="62">
        <f>IF(AND(OR(smp_act_view_idx=2,smp_act_view_idx=4),22&lt;=smp_act_horizon_n),CHOOSE(smp_act_scn_idx,AZ226,CA226,DB226),"")</f>
        <v>4365.9000000000233</v>
      </c>
      <c r="Y86" s="62">
        <f>IF(AND(OR(smp_act_view_idx=2,smp_act_view_idx=4),23&lt;=smp_act_horizon_n),CHOOSE(smp_act_scn_idx,BA226,CB226,DC226),"")</f>
        <v>2182.9499999999825</v>
      </c>
      <c r="Z86" s="62">
        <f>IF(AND(OR(smp_act_view_idx=2,smp_act_view_idx=4),24&lt;=smp_act_horizon_n),CHOOSE(smp_act_scn_idx,BB226,CC226,DD226),"")</f>
        <v>-2182.9499999999825</v>
      </c>
      <c r="AA86" s="1"/>
      <c r="AB86" s="63">
        <f>IF(OR(smp_act_view_idx=2,smp_act_view_idx=4),CHOOSE(smp_act_scn_idx,BC226,CD226,DE226),"")</f>
        <v>23056.860000000015</v>
      </c>
      <c r="AC86" s="63">
        <f>IF(AND(OR(smp_act_view_idx=2,smp_act_view_idx=4),smp_act_horizon_n&gt;=24),CHOOSE(smp_act_scn_idx,BD226,CE226,DF226),"")</f>
        <v>27214.110000000044</v>
      </c>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c r="DH86"/>
    </row>
    <row r="87" spans="1:112" ht="20" customHeight="1" x14ac:dyDescent="0.2">
      <c r="A87" s="1"/>
      <c r="B87" s="22" t="str">
        <f>IF(OR(smp_act_view_idx=2,smp_act_view_idx=4),"   − Increase in other current assets","")</f>
        <v xml:space="preserve">   − Increase in other current assets</v>
      </c>
      <c r="C87" s="62">
        <f>IF(AND(OR(smp_act_view_idx=2,smp_act_view_idx=4),1&lt;=smp_act_horizon_n),CHOOSE(smp_act_scn_idx,(-AE229),(-BF229),(-CG229)),"")</f>
        <v>0</v>
      </c>
      <c r="D87" s="62">
        <f>IF(AND(OR(smp_act_view_idx=2,smp_act_view_idx=4),2&lt;=smp_act_horizon_n),CHOOSE(smp_act_scn_idx,(-AF229),(-BG229),(-CH229)),"")</f>
        <v>0</v>
      </c>
      <c r="E87" s="62">
        <f>IF(AND(OR(smp_act_view_idx=2,smp_act_view_idx=4),3&lt;=smp_act_horizon_n),CHOOSE(smp_act_scn_idx,(-AG229),(-BH229),(-CI229)),"")</f>
        <v>0</v>
      </c>
      <c r="F87" s="62">
        <f>IF(AND(OR(smp_act_view_idx=2,smp_act_view_idx=4),4&lt;=smp_act_horizon_n),CHOOSE(smp_act_scn_idx,(-AH229),(-BI229),(-CJ229)),"")</f>
        <v>0</v>
      </c>
      <c r="G87" s="62">
        <f>IF(AND(OR(smp_act_view_idx=2,smp_act_view_idx=4),5&lt;=smp_act_horizon_n),CHOOSE(smp_act_scn_idx,(-AI229),(-BJ229),(-CK229)),"")</f>
        <v>0</v>
      </c>
      <c r="H87" s="62">
        <f>IF(AND(OR(smp_act_view_idx=2,smp_act_view_idx=4),6&lt;=smp_act_horizon_n),CHOOSE(smp_act_scn_idx,(-AJ229),(-BK229),(-CL229)),"")</f>
        <v>0</v>
      </c>
      <c r="I87" s="62">
        <f>IF(AND(OR(smp_act_view_idx=2,smp_act_view_idx=4),7&lt;=smp_act_horizon_n),CHOOSE(smp_act_scn_idx,(-AK229),(-BL229),(-CM229)),"")</f>
        <v>0</v>
      </c>
      <c r="J87" s="62">
        <f>IF(AND(OR(smp_act_view_idx=2,smp_act_view_idx=4),8&lt;=smp_act_horizon_n),CHOOSE(smp_act_scn_idx,(-AL229),(-BM229),(-CN229)),"")</f>
        <v>0</v>
      </c>
      <c r="K87" s="62">
        <f>IF(AND(OR(smp_act_view_idx=2,smp_act_view_idx=4),9&lt;=smp_act_horizon_n),CHOOSE(smp_act_scn_idx,(-AM229),(-BN229),(-CO229)),"")</f>
        <v>0</v>
      </c>
      <c r="L87" s="62">
        <f>IF(AND(OR(smp_act_view_idx=2,smp_act_view_idx=4),10&lt;=smp_act_horizon_n),CHOOSE(smp_act_scn_idx,(-AN229),(-BO229),(-CP229)),"")</f>
        <v>0</v>
      </c>
      <c r="M87" s="62">
        <f>IF(AND(OR(smp_act_view_idx=2,smp_act_view_idx=4),11&lt;=smp_act_horizon_n),CHOOSE(smp_act_scn_idx,(-AO229),(-BP229),(-CQ229)),"")</f>
        <v>0</v>
      </c>
      <c r="N87" s="62">
        <f>IF(AND(OR(smp_act_view_idx=2,smp_act_view_idx=4),12&lt;=smp_act_horizon_n),CHOOSE(smp_act_scn_idx,(-AP229),(-BQ229),(-CR229)),"")</f>
        <v>0</v>
      </c>
      <c r="O87" s="62">
        <f>IF(AND(OR(smp_act_view_idx=2,smp_act_view_idx=4),13&lt;=smp_act_horizon_n),CHOOSE(smp_act_scn_idx,(-AQ229),(-BR229),(-CS229)),"")</f>
        <v>0</v>
      </c>
      <c r="P87" s="62">
        <f>IF(AND(OR(smp_act_view_idx=2,smp_act_view_idx=4),14&lt;=smp_act_horizon_n),CHOOSE(smp_act_scn_idx,(-AR229),(-BS229),(-CT229)),"")</f>
        <v>0</v>
      </c>
      <c r="Q87" s="62">
        <f>IF(AND(OR(smp_act_view_idx=2,smp_act_view_idx=4),15&lt;=smp_act_horizon_n),CHOOSE(smp_act_scn_idx,(-AS229),(-BT229),(-CU229)),"")</f>
        <v>0</v>
      </c>
      <c r="R87" s="62">
        <f>IF(AND(OR(smp_act_view_idx=2,smp_act_view_idx=4),16&lt;=smp_act_horizon_n),CHOOSE(smp_act_scn_idx,(-AT229),(-BU229),(-CV229)),"")</f>
        <v>0</v>
      </c>
      <c r="S87" s="62">
        <f>IF(AND(OR(smp_act_view_idx=2,smp_act_view_idx=4),17&lt;=smp_act_horizon_n),CHOOSE(smp_act_scn_idx,(-AU229),(-BV229),(-CW229)),"")</f>
        <v>0</v>
      </c>
      <c r="T87" s="62">
        <f>IF(AND(OR(smp_act_view_idx=2,smp_act_view_idx=4),18&lt;=smp_act_horizon_n),CHOOSE(smp_act_scn_idx,(-AV229),(-BW229),(-CX229)),"")</f>
        <v>0</v>
      </c>
      <c r="U87" s="62">
        <f>IF(AND(OR(smp_act_view_idx=2,smp_act_view_idx=4),19&lt;=smp_act_horizon_n),CHOOSE(smp_act_scn_idx,(-AW229),(-BX229),(-CY229)),"")</f>
        <v>0</v>
      </c>
      <c r="V87" s="62">
        <f>IF(AND(OR(smp_act_view_idx=2,smp_act_view_idx=4),20&lt;=smp_act_horizon_n),CHOOSE(smp_act_scn_idx,(-AX229),(-BY229),(-CZ229)),"")</f>
        <v>0</v>
      </c>
      <c r="W87" s="62">
        <f>IF(AND(OR(smp_act_view_idx=2,smp_act_view_idx=4),21&lt;=smp_act_horizon_n),CHOOSE(smp_act_scn_idx,(-AY229),(-BZ229),(-DA229)),"")</f>
        <v>0</v>
      </c>
      <c r="X87" s="62">
        <f>IF(AND(OR(smp_act_view_idx=2,smp_act_view_idx=4),22&lt;=smp_act_horizon_n),CHOOSE(smp_act_scn_idx,(-AZ229),(-CA229),(-DB229)),"")</f>
        <v>0</v>
      </c>
      <c r="Y87" s="62">
        <f>IF(AND(OR(smp_act_view_idx=2,smp_act_view_idx=4),23&lt;=smp_act_horizon_n),CHOOSE(smp_act_scn_idx,(-BA229),(-CB229),(-DC229)),"")</f>
        <v>0</v>
      </c>
      <c r="Z87" s="62">
        <f>IF(AND(OR(smp_act_view_idx=2,smp_act_view_idx=4),24&lt;=smp_act_horizon_n),CHOOSE(smp_act_scn_idx,(-BB229),(-CC229),(-DD229)),"")</f>
        <v>0</v>
      </c>
      <c r="AA87" s="1"/>
      <c r="AB87" s="63">
        <f>IF(OR(smp_act_view_idx=2,smp_act_view_idx=4),CHOOSE(smp_act_scn_idx,(-BC229),(-CD229),(-DE229)),"")</f>
        <v>0</v>
      </c>
      <c r="AC87" s="63">
        <f>IF(AND(OR(smp_act_view_idx=2,smp_act_view_idx=4),smp_act_horizon_n&gt;=24),CHOOSE(smp_act_scn_idx,(-BD229),(-CE229),(-DF229)),"")</f>
        <v>0</v>
      </c>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c r="DH87"/>
    </row>
    <row r="88" spans="1:112" ht="20" customHeight="1" x14ac:dyDescent="0.2">
      <c r="A88" s="1"/>
      <c r="B88" s="22" t="str">
        <f>IF(OR(smp_act_view_idx=2,smp_act_view_idx=4),"   + Increase in other current liabilities","")</f>
        <v xml:space="preserve">   + Increase in other current liabilities</v>
      </c>
      <c r="C88" s="62">
        <f>IF(AND(OR(smp_act_view_idx=2,smp_act_view_idx=4),1&lt;=smp_act_horizon_n),CHOOSE(smp_act_scn_idx,AE232,BF232,CG232),"")</f>
        <v>0</v>
      </c>
      <c r="D88" s="62">
        <f>IF(AND(OR(smp_act_view_idx=2,smp_act_view_idx=4),2&lt;=smp_act_horizon_n),CHOOSE(smp_act_scn_idx,AF232,BG232,CH232),"")</f>
        <v>0</v>
      </c>
      <c r="E88" s="62">
        <f>IF(AND(OR(smp_act_view_idx=2,smp_act_view_idx=4),3&lt;=smp_act_horizon_n),CHOOSE(smp_act_scn_idx,AG232,BH232,CI232),"")</f>
        <v>0</v>
      </c>
      <c r="F88" s="62">
        <f>IF(AND(OR(smp_act_view_idx=2,smp_act_view_idx=4),4&lt;=smp_act_horizon_n),CHOOSE(smp_act_scn_idx,AH232,BI232,CJ232),"")</f>
        <v>0</v>
      </c>
      <c r="G88" s="62">
        <f>IF(AND(OR(smp_act_view_idx=2,smp_act_view_idx=4),5&lt;=smp_act_horizon_n),CHOOSE(smp_act_scn_idx,AI232,BJ232,CK232),"")</f>
        <v>0</v>
      </c>
      <c r="H88" s="62">
        <f>IF(AND(OR(smp_act_view_idx=2,smp_act_view_idx=4),6&lt;=smp_act_horizon_n),CHOOSE(smp_act_scn_idx,AJ232,BK232,CL232),"")</f>
        <v>0</v>
      </c>
      <c r="I88" s="62">
        <f>IF(AND(OR(smp_act_view_idx=2,smp_act_view_idx=4),7&lt;=smp_act_horizon_n),CHOOSE(smp_act_scn_idx,AK232,BL232,CM232),"")</f>
        <v>0</v>
      </c>
      <c r="J88" s="62">
        <f>IF(AND(OR(smp_act_view_idx=2,smp_act_view_idx=4),8&lt;=smp_act_horizon_n),CHOOSE(smp_act_scn_idx,AL232,BM232,CN232),"")</f>
        <v>0</v>
      </c>
      <c r="K88" s="62">
        <f>IF(AND(OR(smp_act_view_idx=2,smp_act_view_idx=4),9&lt;=smp_act_horizon_n),CHOOSE(smp_act_scn_idx,AM232,BN232,CO232),"")</f>
        <v>0</v>
      </c>
      <c r="L88" s="62">
        <f>IF(AND(OR(smp_act_view_idx=2,smp_act_view_idx=4),10&lt;=smp_act_horizon_n),CHOOSE(smp_act_scn_idx,AN232,BO232,CP232),"")</f>
        <v>0</v>
      </c>
      <c r="M88" s="62">
        <f>IF(AND(OR(smp_act_view_idx=2,smp_act_view_idx=4),11&lt;=smp_act_horizon_n),CHOOSE(smp_act_scn_idx,AO232,BP232,CQ232),"")</f>
        <v>0</v>
      </c>
      <c r="N88" s="62">
        <f>IF(AND(OR(smp_act_view_idx=2,smp_act_view_idx=4),12&lt;=smp_act_horizon_n),CHOOSE(smp_act_scn_idx,AP232,BQ232,CR232),"")</f>
        <v>0</v>
      </c>
      <c r="O88" s="62">
        <f>IF(AND(OR(smp_act_view_idx=2,smp_act_view_idx=4),13&lt;=smp_act_horizon_n),CHOOSE(smp_act_scn_idx,AQ232,BR232,CS232),"")</f>
        <v>0</v>
      </c>
      <c r="P88" s="62">
        <f>IF(AND(OR(smp_act_view_idx=2,smp_act_view_idx=4),14&lt;=smp_act_horizon_n),CHOOSE(smp_act_scn_idx,AR232,BS232,CT232),"")</f>
        <v>0</v>
      </c>
      <c r="Q88" s="62">
        <f>IF(AND(OR(smp_act_view_idx=2,smp_act_view_idx=4),15&lt;=smp_act_horizon_n),CHOOSE(smp_act_scn_idx,AS232,BT232,CU232),"")</f>
        <v>0</v>
      </c>
      <c r="R88" s="62">
        <f>IF(AND(OR(smp_act_view_idx=2,smp_act_view_idx=4),16&lt;=smp_act_horizon_n),CHOOSE(smp_act_scn_idx,AT232,BU232,CV232),"")</f>
        <v>0</v>
      </c>
      <c r="S88" s="62">
        <f>IF(AND(OR(smp_act_view_idx=2,smp_act_view_idx=4),17&lt;=smp_act_horizon_n),CHOOSE(smp_act_scn_idx,AU232,BV232,CW232),"")</f>
        <v>0</v>
      </c>
      <c r="T88" s="62">
        <f>IF(AND(OR(smp_act_view_idx=2,smp_act_view_idx=4),18&lt;=smp_act_horizon_n),CHOOSE(smp_act_scn_idx,AV232,BW232,CX232),"")</f>
        <v>0</v>
      </c>
      <c r="U88" s="62">
        <f>IF(AND(OR(smp_act_view_idx=2,smp_act_view_idx=4),19&lt;=smp_act_horizon_n),CHOOSE(smp_act_scn_idx,AW232,BX232,CY232),"")</f>
        <v>0</v>
      </c>
      <c r="V88" s="62">
        <f>IF(AND(OR(smp_act_view_idx=2,smp_act_view_idx=4),20&lt;=smp_act_horizon_n),CHOOSE(smp_act_scn_idx,AX232,BY232,CZ232),"")</f>
        <v>0</v>
      </c>
      <c r="W88" s="62">
        <f>IF(AND(OR(smp_act_view_idx=2,smp_act_view_idx=4),21&lt;=smp_act_horizon_n),CHOOSE(smp_act_scn_idx,AY232,BZ232,DA232),"")</f>
        <v>0</v>
      </c>
      <c r="X88" s="62">
        <f>IF(AND(OR(smp_act_view_idx=2,smp_act_view_idx=4),22&lt;=smp_act_horizon_n),CHOOSE(smp_act_scn_idx,AZ232,CA232,DB232),"")</f>
        <v>0</v>
      </c>
      <c r="Y88" s="62">
        <f>IF(AND(OR(smp_act_view_idx=2,smp_act_view_idx=4),23&lt;=smp_act_horizon_n),CHOOSE(smp_act_scn_idx,BA232,CB232,DC232),"")</f>
        <v>0</v>
      </c>
      <c r="Z88" s="62">
        <f>IF(AND(OR(smp_act_view_idx=2,smp_act_view_idx=4),24&lt;=smp_act_horizon_n),CHOOSE(smp_act_scn_idx,BB232,CC232,DD232),"")</f>
        <v>0</v>
      </c>
      <c r="AA88" s="1"/>
      <c r="AB88" s="63">
        <f>IF(OR(smp_act_view_idx=2,smp_act_view_idx=4),CHOOSE(smp_act_scn_idx,BC232,CD232,DE232),"")</f>
        <v>0</v>
      </c>
      <c r="AC88" s="63">
        <f>IF(AND(OR(smp_act_view_idx=2,smp_act_view_idx=4),smp_act_horizon_n&gt;=24),CHOOSE(smp_act_scn_idx,BD232,CE232,DF232),"")</f>
        <v>0</v>
      </c>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c r="DH88"/>
    </row>
    <row r="89" spans="1:112" ht="20" customHeight="1" x14ac:dyDescent="0.2">
      <c r="A89" s="1"/>
      <c r="B89" s="22" t="str">
        <f>IF(OR(smp_act_view_idx=2,smp_act_view_idx=4),"   + Increase in tax payable","")</f>
        <v xml:space="preserve">   + Increase in tax payable</v>
      </c>
      <c r="C89" s="62">
        <f>IF(AND(OR(smp_act_view_idx=2,smp_act_view_idx=4),1&lt;=smp_act_horizon_n),CHOOSE(smp_act_scn_idx,AE236,BF236,CG236),"")</f>
        <v>12270.508333333331</v>
      </c>
      <c r="D89" s="62">
        <f>IF(AND(OR(smp_act_view_idx=2,smp_act_view_idx=4),2&lt;=smp_act_horizon_n),CHOOSE(smp_act_scn_idx,AF236,BG236,CH236),"")</f>
        <v>14766.314687500002</v>
      </c>
      <c r="E89" s="62">
        <f>IF(AND(OR(smp_act_view_idx=2,smp_act_view_idx=4),3&lt;=smp_act_horizon_n),CHOOSE(smp_act_scn_idx,AG236,BH236,CI236),"")</f>
        <v>17618.081041666657</v>
      </c>
      <c r="F89" s="62">
        <f>IF(AND(OR(smp_act_view_idx=2,smp_act_view_idx=4),4&lt;=smp_act_horizon_n),CHOOSE(smp_act_scn_idx,AH236,BI236,CJ236),"")</f>
        <v>-44933.257447916672</v>
      </c>
      <c r="G89" s="62">
        <f>IF(AND(OR(smp_act_view_idx=2,smp_act_view_idx=4),5&lt;=smp_act_horizon_n),CHOOSE(smp_act_scn_idx,AI236,BJ236,CK236),"")</f>
        <v>22733.773750000015</v>
      </c>
      <c r="H89" s="62">
        <f>IF(AND(OR(smp_act_view_idx=2,smp_act_view_idx=4),6&lt;=smp_act_horizon_n),CHOOSE(smp_act_scn_idx,AJ236,BK236,CL236),"")</f>
        <v>22133.520104166673</v>
      </c>
      <c r="I89" s="62">
        <f>IF(AND(OR(smp_act_view_idx=2,smp_act_view_idx=4),7&lt;=smp_act_horizon_n),CHOOSE(smp_act_scn_idx,AK236,BL236,CM236),"")</f>
        <v>21344.50645833333</v>
      </c>
      <c r="J89" s="62">
        <f>IF(AND(OR(smp_act_view_idx=2,smp_act_view_idx=4),8&lt;=smp_act_horizon_n),CHOOSE(smp_act_scn_idx,AL236,BM236,CN236),"")</f>
        <v>-43701.467031250017</v>
      </c>
      <c r="K89" s="62">
        <f>IF(AND(OR(smp_act_view_idx=2,smp_act_view_idx=4),9&lt;=smp_act_horizon_n),CHOOSE(smp_act_scn_idx,AM236,BN236,CO236),"")</f>
        <v>24154.32416666668</v>
      </c>
      <c r="L89" s="62">
        <f>IF(AND(OR(smp_act_view_idx=2,smp_act_view_idx=4),10&lt;=smp_act_horizon_n),CHOOSE(smp_act_scn_idx,AN236,BO236,CP236),"")</f>
        <v>-38574.994322916675</v>
      </c>
      <c r="M89" s="62">
        <f>IF(AND(OR(smp_act_view_idx=2,smp_act_view_idx=4),11&lt;=smp_act_horizon_n),CHOOSE(smp_act_scn_idx,AO236,BP236,CQ236),"")</f>
        <v>28522.951875000006</v>
      </c>
      <c r="N89" s="62">
        <f>IF(AND(OR(smp_act_view_idx=2,smp_act_view_idx=4),12&lt;=smp_act_horizon_n),CHOOSE(smp_act_scn_idx,AP236,BQ236,CR236),"")</f>
        <v>28869.303229166675</v>
      </c>
      <c r="O89" s="62">
        <f>IF(AND(OR(smp_act_view_idx=2,smp_act_view_idx=4),13&lt;=smp_act_horizon_n),CHOOSE(smp_act_scn_idx,AQ236,BR236,CS236),"")</f>
        <v>28959.629583333342</v>
      </c>
      <c r="P89" s="62">
        <f>IF(AND(OR(smp_act_view_idx=2,smp_act_view_idx=4),14&lt;=smp_act_horizon_n),CHOOSE(smp_act_scn_idx,AR236,BS236,CT236),"")</f>
        <v>31245.115937499984</v>
      </c>
      <c r="Q89" s="62">
        <f>IF(AND(OR(smp_act_view_idx=2,smp_act_view_idx=4),15&lt;=smp_act_horizon_n),CHOOSE(smp_act_scn_idx,AS236,BT236,CU236),"")</f>
        <v>33530.60229166667</v>
      </c>
      <c r="R89" s="62">
        <f>IF(AND(OR(smp_act_view_idx=2,smp_act_view_idx=4),16&lt;=smp_act_horizon_n),CHOOSE(smp_act_scn_idx,AT236,BU236,CV236),"")</f>
        <v>-74562.54869791666</v>
      </c>
      <c r="S89" s="62">
        <f>IF(AND(OR(smp_act_view_idx=2,smp_act_view_idx=4),17&lt;=smp_act_horizon_n),CHOOSE(smp_act_scn_idx,AU236,BV236,CW236),"")</f>
        <v>38066.430000000008</v>
      </c>
      <c r="T89" s="62">
        <f>IF(AND(OR(smp_act_view_idx=2,smp_act_view_idx=4),18&lt;=smp_act_horizon_n),CHOOSE(smp_act_scn_idx,AV236,BW236,CX236),"")</f>
        <v>38046.041354166664</v>
      </c>
      <c r="U89" s="62">
        <f>IF(AND(OR(smp_act_view_idx=2,smp_act_view_idx=4),19&lt;=smp_act_horizon_n),CHOOSE(smp_act_scn_idx,AW236,BX236,CY236),"")</f>
        <v>37257.027708333335</v>
      </c>
      <c r="V89" s="62">
        <f>IF(AND(OR(smp_act_view_idx=2,smp_act_view_idx=4),20&lt;=smp_act_horizon_n),CHOOSE(smp_act_scn_idx,AX236,BY236,CZ236),"")</f>
        <v>-73141.998281250009</v>
      </c>
      <c r="W89" s="62">
        <f>IF(AND(OR(smp_act_view_idx=2,smp_act_view_idx=4),21&lt;=smp_act_horizon_n),CHOOSE(smp_act_scn_idx,AY236,BZ236,DA236),"")</f>
        <v>39155.385416666657</v>
      </c>
      <c r="X89" s="62">
        <f>IF(AND(OR(smp_act_view_idx=2,smp_act_view_idx=4),22&lt;=smp_act_horizon_n),CHOOSE(smp_act_scn_idx,AZ236,CA236,DB236),"")</f>
        <v>-70037.985572916674</v>
      </c>
      <c r="Y89" s="62">
        <f>IF(AND(OR(smp_act_view_idx=2,smp_act_view_idx=4),23&lt;=smp_act_horizon_n),CHOOSE(smp_act_scn_idx,BA236,CB236,DC236),"")</f>
        <v>41490.773124999992</v>
      </c>
      <c r="Z89" s="62">
        <f>IF(AND(OR(smp_act_view_idx=2,smp_act_view_idx=4),24&lt;=smp_act_horizon_n),CHOOSE(smp_act_scn_idx,BB236,CC236,DD236),"")</f>
        <v>40736.904479166667</v>
      </c>
      <c r="AA89" s="1"/>
      <c r="AB89" s="63">
        <f>IF(OR(smp_act_view_idx=2,smp_act_view_idx=4),CHOOSE(smp_act_scn_idx,BC236,CD236,DE236),"")</f>
        <v>65203.564843750006</v>
      </c>
      <c r="AC89" s="63">
        <f>IF(AND(OR(smp_act_view_idx=2,smp_act_view_idx=4),smp_act_horizon_n&gt;=24),CHOOSE(smp_act_scn_idx,BD236,CE236,DF236),"")</f>
        <v>110745.37734374998</v>
      </c>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c r="DH89"/>
    </row>
    <row r="90" spans="1:112" ht="20" customHeight="1" x14ac:dyDescent="0.2">
      <c r="A90" s="1"/>
      <c r="B90" s="64" t="str">
        <f>IF(OR(smp_act_view_idx=2,smp_act_view_idx=4),"Operating cash flow","")</f>
        <v>Operating cash flow</v>
      </c>
      <c r="C90" s="65">
        <f>IF(AND(OR(smp_act_view_idx=2,smp_act_view_idx=4),1&lt;=smp_act_horizon_n),CHOOSE(smp_act_scn_idx,AE238,BF238,CG238),"")</f>
        <v>33260.203333333338</v>
      </c>
      <c r="D90" s="65">
        <f>IF(AND(OR(smp_act_view_idx=2,smp_act_view_idx=4),2&lt;=smp_act_horizon_n),CHOOSE(smp_act_scn_idx,AF238,BG238,CH238),"")</f>
        <v>41858.478750000002</v>
      </c>
      <c r="E90" s="65">
        <f>IF(AND(OR(smp_act_view_idx=2,smp_act_view_idx=4),3&lt;=smp_act_horizon_n),CHOOSE(smp_act_scn_idx,AG238,BH238,CI238),"")</f>
        <v>50480.754833333289</v>
      </c>
      <c r="F90" s="65">
        <f>IF(AND(OR(smp_act_view_idx=2,smp_act_view_idx=4),4&lt;=smp_act_horizon_n),CHOOSE(smp_act_scn_idx,AH238,BI238,CJ238),"")</f>
        <v>-2643.8939270833944</v>
      </c>
      <c r="G90" s="65">
        <f>IF(AND(OR(smp_act_view_idx=2,smp_act_view_idx=4),5&lt;=smp_act_horizon_n),CHOOSE(smp_act_scn_idx,AI238,BJ238,CK238),"")</f>
        <v>73844.73900000006</v>
      </c>
      <c r="H90" s="65">
        <f>IF(AND(OR(smp_act_view_idx=2,smp_act_view_idx=4),6&lt;=smp_act_horizon_n),CHOOSE(smp_act_scn_idx,AJ238,BK238,CL238),"")</f>
        <v>97506.449750000073</v>
      </c>
      <c r="I90" s="65">
        <f>IF(AND(OR(smp_act_view_idx=2,smp_act_view_idx=4),7&lt;=smp_act_horizon_n),CHOOSE(smp_act_scn_idx,AK238,BL238,CM238),"")</f>
        <v>95781.597833333435</v>
      </c>
      <c r="J90" s="65">
        <f>IF(AND(OR(smp_act_view_idx=2,smp_act_view_idx=4),8&lt;=smp_act_horizon_n),CHOOSE(smp_act_scn_idx,AL238,BM238,CN238),"")</f>
        <v>23290.620406249996</v>
      </c>
      <c r="K90" s="65">
        <f>IF(AND(OR(smp_act_view_idx=2,smp_act_view_idx=4),9&lt;=smp_act_horizon_n),CHOOSE(smp_act_scn_idx,AM238,BN238,CO238),"")</f>
        <v>78095.737999999867</v>
      </c>
      <c r="L90" s="65">
        <f>IF(AND(OR(smp_act_view_idx=2,smp_act_view_idx=4),10&lt;=smp_act_horizon_n),CHOOSE(smp_act_scn_idx,AN238,BO238,CP238),"")</f>
        <v>24181.553239583336</v>
      </c>
      <c r="M90" s="65">
        <f>IF(AND(OR(smp_act_view_idx=2,smp_act_view_idx=4),11&lt;=smp_act_horizon_n),CHOOSE(smp_act_scn_idx,AO238,BP238,CQ238),"")</f>
        <v>102056.82416666677</v>
      </c>
      <c r="N90" s="65">
        <f>IF(AND(OR(smp_act_view_idx=2,smp_act_view_idx=4),12&lt;=smp_act_horizon_n),CHOOSE(smp_act_scn_idx,AP238,BQ238,CR238),"")</f>
        <v>116531.80424999997</v>
      </c>
      <c r="O90" s="65">
        <f>IF(AND(OR(smp_act_view_idx=2,smp_act_view_idx=4),13&lt;=smp_act_horizon_n),CHOOSE(smp_act_scn_idx,AQ238,BR238,CS238),"")</f>
        <v>117814.79966666675</v>
      </c>
      <c r="P90" s="65">
        <f>IF(AND(OR(smp_act_view_idx=2,smp_act_view_idx=4),14&lt;=smp_act_horizon_n),CHOOSE(smp_act_scn_idx,AR238,BS238,CT238),"")</f>
        <v>109282.50241666673</v>
      </c>
      <c r="Q90" s="65">
        <f>IF(AND(OR(smp_act_view_idx=2,smp_act_view_idx=4),15&lt;=smp_act_horizon_n),CHOOSE(smp_act_scn_idx,AS238,BT238,CU238),"")</f>
        <v>118424.4478333334</v>
      </c>
      <c r="R90" s="65">
        <f>IF(AND(OR(smp_act_view_idx=2,smp_act_view_idx=4),16&lt;=smp_act_horizon_n),CHOOSE(smp_act_scn_idx,AT238,BU238,CV238),"")</f>
        <v>15464.378572916597</v>
      </c>
      <c r="S90" s="65">
        <f>IF(AND(OR(smp_act_view_idx=2,smp_act_view_idx=4),17&lt;=smp_act_horizon_n),CHOOSE(smp_act_scn_idx,AU238,BV238,CW238),"")</f>
        <v>140269.54466666677</v>
      </c>
      <c r="T90" s="65">
        <f>IF(AND(OR(smp_act_view_idx=2,smp_act_view_idx=4),18&lt;=smp_act_horizon_n),CHOOSE(smp_act_scn_idx,AV238,BW238,CX238),"")</f>
        <v>156062.35408333328</v>
      </c>
      <c r="U90" s="65">
        <f>IF(AND(OR(smp_act_view_idx=2,smp_act_view_idx=4),19&lt;=smp_act_horizon_n),CHOOSE(smp_act_scn_idx,AW238,BX238,CY238),"")</f>
        <v>159431.68283333333</v>
      </c>
      <c r="V90" s="65">
        <f>IF(AND(OR(smp_act_view_idx=2,smp_act_view_idx=4),20&lt;=smp_act_horizon_n),CHOOSE(smp_act_scn_idx,AX238,BY238,CZ238),"")</f>
        <v>40722.730239583325</v>
      </c>
      <c r="W90" s="65">
        <f>IF(AND(OR(smp_act_view_idx=2,smp_act_view_idx=4),21&lt;=smp_act_horizon_n),CHOOSE(smp_act_scn_idx,AY238,BZ238,DA238),"")</f>
        <v>146570.77499999988</v>
      </c>
      <c r="X90" s="65">
        <f>IF(AND(OR(smp_act_view_idx=2,smp_act_view_idx=4),22&lt;=smp_act_horizon_n),CHOOSE(smp_act_scn_idx,AZ238,CA238,DB238),"")</f>
        <v>42033.423072916703</v>
      </c>
      <c r="Y90" s="65">
        <f>IF(AND(OR(smp_act_view_idx=2,smp_act_view_idx=4),23&lt;=smp_act_horizon_n),CHOOSE(smp_act_scn_idx,BA238,CB238,DC238),"")</f>
        <v>162437.70916666658</v>
      </c>
      <c r="Z90" s="65">
        <f>IF(AND(OR(smp_act_view_idx=2,smp_act_view_idx=4),24&lt;=smp_act_horizon_n),CHOOSE(smp_act_scn_idx,BB238,CC238,DD238),"")</f>
        <v>172473.00125000003</v>
      </c>
      <c r="AA90" s="1"/>
      <c r="AB90" s="65">
        <f>IF(OR(smp_act_view_idx=2,smp_act_view_idx=4),CHOOSE(smp_act_scn_idx,BC238,CD238,DE238),"")</f>
        <v>734244.86963541666</v>
      </c>
      <c r="AC90" s="65">
        <f>IF(AND(OR(smp_act_view_idx=2,smp_act_view_idx=4),smp_act_horizon_n&gt;=24),CHOOSE(smp_act_scn_idx,BD238,CE238,DF238),"")</f>
        <v>1380987.3488020834</v>
      </c>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c r="DH90"/>
    </row>
    <row r="91" spans="1:112" ht="20" customHeight="1" x14ac:dyDescent="0.2">
      <c r="A91" s="1"/>
      <c r="B91" s="61" t="str">
        <f>IF(OR(smp_act_view_idx=2,smp_act_view_idx=4),"INVESTING CASH FLOW","")</f>
        <v>INVESTING CASH FLOW</v>
      </c>
      <c r="C91" s="2"/>
      <c r="D91" s="2"/>
      <c r="E91" s="2"/>
      <c r="F91" s="2"/>
      <c r="G91" s="2"/>
      <c r="H91" s="2"/>
      <c r="I91" s="2"/>
      <c r="J91" s="2"/>
      <c r="K91" s="2"/>
      <c r="L91" s="2"/>
      <c r="M91" s="2"/>
      <c r="N91" s="2"/>
      <c r="O91" s="2"/>
      <c r="P91" s="2"/>
      <c r="Q91" s="2"/>
      <c r="R91" s="2"/>
      <c r="S91" s="2"/>
      <c r="T91" s="2"/>
      <c r="U91" s="2"/>
      <c r="V91" s="2"/>
      <c r="W91" s="2"/>
      <c r="X91" s="2"/>
      <c r="Y91" s="2"/>
      <c r="Z91" s="2"/>
      <c r="AA91" s="1"/>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c r="DH91"/>
    </row>
    <row r="92" spans="1:112" ht="20" customHeight="1" x14ac:dyDescent="0.2">
      <c r="A92" s="1"/>
      <c r="B92" s="22" t="str">
        <f>IF(OR(smp_act_view_idx=2,smp_act_view_idx=4),"   − Capital expenditure","")</f>
        <v xml:space="preserve">   − Capital expenditure</v>
      </c>
      <c r="C92" s="62">
        <f>IF(AND(OR(smp_act_view_idx=2,smp_act_view_idx=4),1&lt;=smp_act_horizon_n),CHOOSE(smp_act_scn_idx,(-AE239),(-BF239),(-CG239)),"")</f>
        <v>0</v>
      </c>
      <c r="D92" s="62">
        <f>IF(AND(OR(smp_act_view_idx=2,smp_act_view_idx=4),2&lt;=smp_act_horizon_n),CHOOSE(smp_act_scn_idx,(-AF239),(-BG239),(-CH239)),"")</f>
        <v>0</v>
      </c>
      <c r="E92" s="62">
        <f>IF(AND(OR(smp_act_view_idx=2,smp_act_view_idx=4),3&lt;=smp_act_horizon_n),CHOOSE(smp_act_scn_idx,(-AG239),(-BH239),(-CI239)),"")</f>
        <v>-35000</v>
      </c>
      <c r="F92" s="62">
        <f>IF(AND(OR(smp_act_view_idx=2,smp_act_view_idx=4),4&lt;=smp_act_horizon_n),CHOOSE(smp_act_scn_idx,(-AH239),(-BI239),(-CJ239)),"")</f>
        <v>0</v>
      </c>
      <c r="G92" s="62">
        <f>IF(AND(OR(smp_act_view_idx=2,smp_act_view_idx=4),5&lt;=smp_act_horizon_n),CHOOSE(smp_act_scn_idx,(-AI239),(-BJ239),(-CK239)),"")</f>
        <v>0</v>
      </c>
      <c r="H92" s="62">
        <f>IF(AND(OR(smp_act_view_idx=2,smp_act_view_idx=4),6&lt;=smp_act_horizon_n),CHOOSE(smp_act_scn_idx,(-AJ239),(-BK239),(-CL239)),"")</f>
        <v>0</v>
      </c>
      <c r="I92" s="62">
        <f>IF(AND(OR(smp_act_view_idx=2,smp_act_view_idx=4),7&lt;=smp_act_horizon_n),CHOOSE(smp_act_scn_idx,(-AK239),(-BL239),(-CM239)),"")</f>
        <v>0</v>
      </c>
      <c r="J92" s="62">
        <f>IF(AND(OR(smp_act_view_idx=2,smp_act_view_idx=4),8&lt;=smp_act_horizon_n),CHOOSE(smp_act_scn_idx,(-AL239),(-BM239),(-CN239)),"")</f>
        <v>0</v>
      </c>
      <c r="K92" s="62">
        <f>IF(AND(OR(smp_act_view_idx=2,smp_act_view_idx=4),9&lt;=smp_act_horizon_n),CHOOSE(smp_act_scn_idx,(-AM239),(-BN239),(-CO239)),"")</f>
        <v>0</v>
      </c>
      <c r="L92" s="62">
        <f>IF(AND(OR(smp_act_view_idx=2,smp_act_view_idx=4),10&lt;=smp_act_horizon_n),CHOOSE(smp_act_scn_idx,(-AN239),(-BO239),(-CP239)),"")</f>
        <v>0</v>
      </c>
      <c r="M92" s="62">
        <f>IF(AND(OR(smp_act_view_idx=2,smp_act_view_idx=4),11&lt;=smp_act_horizon_n),CHOOSE(smp_act_scn_idx,(-AO239),(-BP239),(-CQ239)),"")</f>
        <v>-20000</v>
      </c>
      <c r="N92" s="62">
        <f>IF(AND(OR(smp_act_view_idx=2,smp_act_view_idx=4),12&lt;=smp_act_horizon_n),CHOOSE(smp_act_scn_idx,(-AP239),(-BQ239),(-CR239)),"")</f>
        <v>0</v>
      </c>
      <c r="O92" s="62">
        <f>IF(AND(OR(smp_act_view_idx=2,smp_act_view_idx=4),13&lt;=smp_act_horizon_n),CHOOSE(smp_act_scn_idx,(-AQ239),(-BR239),(-CS239)),"")</f>
        <v>0</v>
      </c>
      <c r="P92" s="62">
        <f>IF(AND(OR(smp_act_view_idx=2,smp_act_view_idx=4),14&lt;=smp_act_horizon_n),CHOOSE(smp_act_scn_idx,(-AR239),(-BS239),(-CT239)),"")</f>
        <v>0</v>
      </c>
      <c r="Q92" s="62">
        <f>IF(AND(OR(smp_act_view_idx=2,smp_act_view_idx=4),15&lt;=smp_act_horizon_n),CHOOSE(smp_act_scn_idx,(-AS239),(-BT239),(-CU239)),"")</f>
        <v>0</v>
      </c>
      <c r="R92" s="62">
        <f>IF(AND(OR(smp_act_view_idx=2,smp_act_view_idx=4),16&lt;=smp_act_horizon_n),CHOOSE(smp_act_scn_idx,(-AT239),(-BU239),(-CV239)),"")</f>
        <v>-25000</v>
      </c>
      <c r="S92" s="62">
        <f>IF(AND(OR(smp_act_view_idx=2,smp_act_view_idx=4),17&lt;=smp_act_horizon_n),CHOOSE(smp_act_scn_idx,(-AU239),(-BV239),(-CW239)),"")</f>
        <v>0</v>
      </c>
      <c r="T92" s="62">
        <f>IF(AND(OR(smp_act_view_idx=2,smp_act_view_idx=4),18&lt;=smp_act_horizon_n),CHOOSE(smp_act_scn_idx,(-AV239),(-BW239),(-CX239)),"")</f>
        <v>0</v>
      </c>
      <c r="U92" s="62">
        <f>IF(AND(OR(smp_act_view_idx=2,smp_act_view_idx=4),19&lt;=smp_act_horizon_n),CHOOSE(smp_act_scn_idx,(-AW239),(-BX239),(-CY239)),"")</f>
        <v>0</v>
      </c>
      <c r="V92" s="62">
        <f>IF(AND(OR(smp_act_view_idx=2,smp_act_view_idx=4),20&lt;=smp_act_horizon_n),CHOOSE(smp_act_scn_idx,(-AX239),(-BY239),(-CZ239)),"")</f>
        <v>0</v>
      </c>
      <c r="W92" s="62">
        <f>IF(AND(OR(smp_act_view_idx=2,smp_act_view_idx=4),21&lt;=smp_act_horizon_n),CHOOSE(smp_act_scn_idx,(-AY239),(-BZ239),(-DA239)),"")</f>
        <v>0</v>
      </c>
      <c r="X92" s="62">
        <f>IF(AND(OR(smp_act_view_idx=2,smp_act_view_idx=4),22&lt;=smp_act_horizon_n),CHOOSE(smp_act_scn_idx,(-AZ239),(-CA239),(-DB239)),"")</f>
        <v>0</v>
      </c>
      <c r="Y92" s="62">
        <f>IF(AND(OR(smp_act_view_idx=2,smp_act_view_idx=4),23&lt;=smp_act_horizon_n),CHOOSE(smp_act_scn_idx,(-BA239),(-CB239),(-DC239)),"")</f>
        <v>0</v>
      </c>
      <c r="Z92" s="62">
        <f>IF(AND(OR(smp_act_view_idx=2,smp_act_view_idx=4),24&lt;=smp_act_horizon_n),CHOOSE(smp_act_scn_idx,(-BB239),(-CC239),(-DD239)),"")</f>
        <v>0</v>
      </c>
      <c r="AA92" s="1"/>
      <c r="AB92" s="63">
        <f>IF(OR(smp_act_view_idx=2,smp_act_view_idx=4),CHOOSE(smp_act_scn_idx,(-BC239),(-CD239),(-DE239)),"")</f>
        <v>-55000</v>
      </c>
      <c r="AC92" s="63">
        <f>IF(AND(OR(smp_act_view_idx=2,smp_act_view_idx=4),smp_act_horizon_n&gt;=24),CHOOSE(smp_act_scn_idx,(-BD239),(-CE239),(-DF239)),"")</f>
        <v>-25000</v>
      </c>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c r="DH92"/>
    </row>
    <row r="93" spans="1:112" ht="20" customHeight="1" x14ac:dyDescent="0.2">
      <c r="A93" s="1"/>
      <c r="B93" s="64" t="str">
        <f>IF(OR(smp_act_view_idx=2,smp_act_view_idx=4),"Investing cash flow","")</f>
        <v>Investing cash flow</v>
      </c>
      <c r="C93" s="65">
        <f>IF(AND(OR(smp_act_view_idx=2,smp_act_view_idx=4),1&lt;=smp_act_horizon_n),CHOOSE(smp_act_scn_idx,AE240,BF240,CG240),"")</f>
        <v>0</v>
      </c>
      <c r="D93" s="65">
        <f>IF(AND(OR(smp_act_view_idx=2,smp_act_view_idx=4),2&lt;=smp_act_horizon_n),CHOOSE(smp_act_scn_idx,AF240,BG240,CH240),"")</f>
        <v>0</v>
      </c>
      <c r="E93" s="65">
        <f>IF(AND(OR(smp_act_view_idx=2,smp_act_view_idx=4),3&lt;=smp_act_horizon_n),CHOOSE(smp_act_scn_idx,AG240,BH240,CI240),"")</f>
        <v>-35000</v>
      </c>
      <c r="F93" s="65">
        <f>IF(AND(OR(smp_act_view_idx=2,smp_act_view_idx=4),4&lt;=smp_act_horizon_n),CHOOSE(smp_act_scn_idx,AH240,BI240,CJ240),"")</f>
        <v>0</v>
      </c>
      <c r="G93" s="65">
        <f>IF(AND(OR(smp_act_view_idx=2,smp_act_view_idx=4),5&lt;=smp_act_horizon_n),CHOOSE(smp_act_scn_idx,AI240,BJ240,CK240),"")</f>
        <v>0</v>
      </c>
      <c r="H93" s="65">
        <f>IF(AND(OR(smp_act_view_idx=2,smp_act_view_idx=4),6&lt;=smp_act_horizon_n),CHOOSE(smp_act_scn_idx,AJ240,BK240,CL240),"")</f>
        <v>0</v>
      </c>
      <c r="I93" s="65">
        <f>IF(AND(OR(smp_act_view_idx=2,smp_act_view_idx=4),7&lt;=smp_act_horizon_n),CHOOSE(smp_act_scn_idx,AK240,BL240,CM240),"")</f>
        <v>0</v>
      </c>
      <c r="J93" s="65">
        <f>IF(AND(OR(smp_act_view_idx=2,smp_act_view_idx=4),8&lt;=smp_act_horizon_n),CHOOSE(smp_act_scn_idx,AL240,BM240,CN240),"")</f>
        <v>0</v>
      </c>
      <c r="K93" s="65">
        <f>IF(AND(OR(smp_act_view_idx=2,smp_act_view_idx=4),9&lt;=smp_act_horizon_n),CHOOSE(smp_act_scn_idx,AM240,BN240,CO240),"")</f>
        <v>0</v>
      </c>
      <c r="L93" s="65">
        <f>IF(AND(OR(smp_act_view_idx=2,smp_act_view_idx=4),10&lt;=smp_act_horizon_n),CHOOSE(smp_act_scn_idx,AN240,BO240,CP240),"")</f>
        <v>0</v>
      </c>
      <c r="M93" s="65">
        <f>IF(AND(OR(smp_act_view_idx=2,smp_act_view_idx=4),11&lt;=smp_act_horizon_n),CHOOSE(smp_act_scn_idx,AO240,BP240,CQ240),"")</f>
        <v>-20000</v>
      </c>
      <c r="N93" s="65">
        <f>IF(AND(OR(smp_act_view_idx=2,smp_act_view_idx=4),12&lt;=smp_act_horizon_n),CHOOSE(smp_act_scn_idx,AP240,BQ240,CR240),"")</f>
        <v>0</v>
      </c>
      <c r="O93" s="65">
        <f>IF(AND(OR(smp_act_view_idx=2,smp_act_view_idx=4),13&lt;=smp_act_horizon_n),CHOOSE(smp_act_scn_idx,AQ240,BR240,CS240),"")</f>
        <v>0</v>
      </c>
      <c r="P93" s="65">
        <f>IF(AND(OR(smp_act_view_idx=2,smp_act_view_idx=4),14&lt;=smp_act_horizon_n),CHOOSE(smp_act_scn_idx,AR240,BS240,CT240),"")</f>
        <v>0</v>
      </c>
      <c r="Q93" s="65">
        <f>IF(AND(OR(smp_act_view_idx=2,smp_act_view_idx=4),15&lt;=smp_act_horizon_n),CHOOSE(smp_act_scn_idx,AS240,BT240,CU240),"")</f>
        <v>0</v>
      </c>
      <c r="R93" s="65">
        <f>IF(AND(OR(smp_act_view_idx=2,smp_act_view_idx=4),16&lt;=smp_act_horizon_n),CHOOSE(smp_act_scn_idx,AT240,BU240,CV240),"")</f>
        <v>-25000</v>
      </c>
      <c r="S93" s="65">
        <f>IF(AND(OR(smp_act_view_idx=2,smp_act_view_idx=4),17&lt;=smp_act_horizon_n),CHOOSE(smp_act_scn_idx,AU240,BV240,CW240),"")</f>
        <v>0</v>
      </c>
      <c r="T93" s="65">
        <f>IF(AND(OR(smp_act_view_idx=2,smp_act_view_idx=4),18&lt;=smp_act_horizon_n),CHOOSE(smp_act_scn_idx,AV240,BW240,CX240),"")</f>
        <v>0</v>
      </c>
      <c r="U93" s="65">
        <f>IF(AND(OR(smp_act_view_idx=2,smp_act_view_idx=4),19&lt;=smp_act_horizon_n),CHOOSE(smp_act_scn_idx,AW240,BX240,CY240),"")</f>
        <v>0</v>
      </c>
      <c r="V93" s="65">
        <f>IF(AND(OR(smp_act_view_idx=2,smp_act_view_idx=4),20&lt;=smp_act_horizon_n),CHOOSE(smp_act_scn_idx,AX240,BY240,CZ240),"")</f>
        <v>0</v>
      </c>
      <c r="W93" s="65">
        <f>IF(AND(OR(smp_act_view_idx=2,smp_act_view_idx=4),21&lt;=smp_act_horizon_n),CHOOSE(smp_act_scn_idx,AY240,BZ240,DA240),"")</f>
        <v>0</v>
      </c>
      <c r="X93" s="65">
        <f>IF(AND(OR(smp_act_view_idx=2,smp_act_view_idx=4),22&lt;=smp_act_horizon_n),CHOOSE(smp_act_scn_idx,AZ240,CA240,DB240),"")</f>
        <v>0</v>
      </c>
      <c r="Y93" s="65">
        <f>IF(AND(OR(smp_act_view_idx=2,smp_act_view_idx=4),23&lt;=smp_act_horizon_n),CHOOSE(smp_act_scn_idx,BA240,CB240,DC240),"")</f>
        <v>0</v>
      </c>
      <c r="Z93" s="65">
        <f>IF(AND(OR(smp_act_view_idx=2,smp_act_view_idx=4),24&lt;=smp_act_horizon_n),CHOOSE(smp_act_scn_idx,BB240,CC240,DD240),"")</f>
        <v>0</v>
      </c>
      <c r="AA93" s="1"/>
      <c r="AB93" s="65">
        <f>IF(OR(smp_act_view_idx=2,smp_act_view_idx=4),CHOOSE(smp_act_scn_idx,BC240,CD240,DE240),"")</f>
        <v>-55000</v>
      </c>
      <c r="AC93" s="65">
        <f>IF(AND(OR(smp_act_view_idx=2,smp_act_view_idx=4),smp_act_horizon_n&gt;=24),CHOOSE(smp_act_scn_idx,BD240,CE240,DF240),"")</f>
        <v>-25000</v>
      </c>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c r="DH93"/>
    </row>
    <row r="94" spans="1:112" ht="20" customHeight="1" x14ac:dyDescent="0.2">
      <c r="A94" s="1"/>
      <c r="B94" s="61" t="str">
        <f>IF(OR(smp_act_view_idx=2,smp_act_view_idx=4),"FINANCING CASH FLOW","")</f>
        <v>FINANCING CASH FLOW</v>
      </c>
      <c r="C94" s="2"/>
      <c r="D94" s="2"/>
      <c r="E94" s="2"/>
      <c r="F94" s="2"/>
      <c r="G94" s="2"/>
      <c r="H94" s="2"/>
      <c r="I94" s="2"/>
      <c r="J94" s="2"/>
      <c r="K94" s="2"/>
      <c r="L94" s="2"/>
      <c r="M94" s="2"/>
      <c r="N94" s="2"/>
      <c r="O94" s="2"/>
      <c r="P94" s="2"/>
      <c r="Q94" s="2"/>
      <c r="R94" s="2"/>
      <c r="S94" s="2"/>
      <c r="T94" s="2"/>
      <c r="U94" s="2"/>
      <c r="V94" s="2"/>
      <c r="W94" s="2"/>
      <c r="X94" s="2"/>
      <c r="Y94" s="2"/>
      <c r="Z94" s="2"/>
      <c r="AA94" s="1"/>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c r="DH94"/>
    </row>
    <row r="95" spans="1:112" ht="20" customHeight="1" x14ac:dyDescent="0.2">
      <c r="A95" s="1"/>
      <c r="B95" s="22" t="str">
        <f>IF(OR(smp_act_view_idx=2,smp_act_view_idx=4),"   + Debt drawdowns","")</f>
        <v xml:space="preserve">   + Debt drawdowns</v>
      </c>
      <c r="C95" s="62">
        <f>IF(AND(OR(smp_act_view_idx=2,smp_act_view_idx=4),1&lt;=smp_act_horizon_n),CHOOSE(smp_act_scn_idx,AE241,BF241,CG241),"")</f>
        <v>0</v>
      </c>
      <c r="D95" s="62">
        <f>IF(AND(OR(smp_act_view_idx=2,smp_act_view_idx=4),2&lt;=smp_act_horizon_n),CHOOSE(smp_act_scn_idx,AF241,BG241,CH241),"")</f>
        <v>0</v>
      </c>
      <c r="E95" s="62">
        <f>IF(AND(OR(smp_act_view_idx=2,smp_act_view_idx=4),3&lt;=smp_act_horizon_n),CHOOSE(smp_act_scn_idx,AG241,BH241,CI241),"")</f>
        <v>0</v>
      </c>
      <c r="F95" s="62">
        <f>IF(AND(OR(smp_act_view_idx=2,smp_act_view_idx=4),4&lt;=smp_act_horizon_n),CHOOSE(smp_act_scn_idx,AH241,BI241,CJ241),"")</f>
        <v>0</v>
      </c>
      <c r="G95" s="62">
        <f>IF(AND(OR(smp_act_view_idx=2,smp_act_view_idx=4),5&lt;=smp_act_horizon_n),CHOOSE(smp_act_scn_idx,AI241,BJ241,CK241),"")</f>
        <v>0</v>
      </c>
      <c r="H95" s="62">
        <f>IF(AND(OR(smp_act_view_idx=2,smp_act_view_idx=4),6&lt;=smp_act_horizon_n),CHOOSE(smp_act_scn_idx,AJ241,BK241,CL241),"")</f>
        <v>0</v>
      </c>
      <c r="I95" s="62">
        <f>IF(AND(OR(smp_act_view_idx=2,smp_act_view_idx=4),7&lt;=smp_act_horizon_n),CHOOSE(smp_act_scn_idx,AK241,BL241,CM241),"")</f>
        <v>0</v>
      </c>
      <c r="J95" s="62">
        <f>IF(AND(OR(smp_act_view_idx=2,smp_act_view_idx=4),8&lt;=smp_act_horizon_n),CHOOSE(smp_act_scn_idx,AL241,BM241,CN241),"")</f>
        <v>0</v>
      </c>
      <c r="K95" s="62">
        <f>IF(AND(OR(smp_act_view_idx=2,smp_act_view_idx=4),9&lt;=smp_act_horizon_n),CHOOSE(smp_act_scn_idx,AM241,BN241,CO241),"")</f>
        <v>0</v>
      </c>
      <c r="L95" s="62">
        <f>IF(AND(OR(smp_act_view_idx=2,smp_act_view_idx=4),10&lt;=smp_act_horizon_n),CHOOSE(smp_act_scn_idx,AN241,BO241,CP241),"")</f>
        <v>0</v>
      </c>
      <c r="M95" s="62">
        <f>IF(AND(OR(smp_act_view_idx=2,smp_act_view_idx=4),11&lt;=smp_act_horizon_n),CHOOSE(smp_act_scn_idx,AO241,BP241,CQ241),"")</f>
        <v>0</v>
      </c>
      <c r="N95" s="62">
        <f>IF(AND(OR(smp_act_view_idx=2,smp_act_view_idx=4),12&lt;=smp_act_horizon_n),CHOOSE(smp_act_scn_idx,AP241,BQ241,CR241),"")</f>
        <v>0</v>
      </c>
      <c r="O95" s="62">
        <f>IF(AND(OR(smp_act_view_idx=2,smp_act_view_idx=4),13&lt;=smp_act_horizon_n),CHOOSE(smp_act_scn_idx,AQ241,BR241,CS241),"")</f>
        <v>0</v>
      </c>
      <c r="P95" s="62">
        <f>IF(AND(OR(smp_act_view_idx=2,smp_act_view_idx=4),14&lt;=smp_act_horizon_n),CHOOSE(smp_act_scn_idx,AR241,BS241,CT241),"")</f>
        <v>0</v>
      </c>
      <c r="Q95" s="62">
        <f>IF(AND(OR(smp_act_view_idx=2,smp_act_view_idx=4),15&lt;=smp_act_horizon_n),CHOOSE(smp_act_scn_idx,AS241,BT241,CU241),"")</f>
        <v>0</v>
      </c>
      <c r="R95" s="62">
        <f>IF(AND(OR(smp_act_view_idx=2,smp_act_view_idx=4),16&lt;=smp_act_horizon_n),CHOOSE(smp_act_scn_idx,AT241,BU241,CV241),"")</f>
        <v>0</v>
      </c>
      <c r="S95" s="62">
        <f>IF(AND(OR(smp_act_view_idx=2,smp_act_view_idx=4),17&lt;=smp_act_horizon_n),CHOOSE(smp_act_scn_idx,AU241,BV241,CW241),"")</f>
        <v>0</v>
      </c>
      <c r="T95" s="62">
        <f>IF(AND(OR(smp_act_view_idx=2,smp_act_view_idx=4),18&lt;=smp_act_horizon_n),CHOOSE(smp_act_scn_idx,AV241,BW241,CX241),"")</f>
        <v>0</v>
      </c>
      <c r="U95" s="62">
        <f>IF(AND(OR(smp_act_view_idx=2,smp_act_view_idx=4),19&lt;=smp_act_horizon_n),CHOOSE(smp_act_scn_idx,AW241,BX241,CY241),"")</f>
        <v>0</v>
      </c>
      <c r="V95" s="62">
        <f>IF(AND(OR(smp_act_view_idx=2,smp_act_view_idx=4),20&lt;=smp_act_horizon_n),CHOOSE(smp_act_scn_idx,AX241,BY241,CZ241),"")</f>
        <v>0</v>
      </c>
      <c r="W95" s="62">
        <f>IF(AND(OR(smp_act_view_idx=2,smp_act_view_idx=4),21&lt;=smp_act_horizon_n),CHOOSE(smp_act_scn_idx,AY241,BZ241,DA241),"")</f>
        <v>0</v>
      </c>
      <c r="X95" s="62">
        <f>IF(AND(OR(smp_act_view_idx=2,smp_act_view_idx=4),22&lt;=smp_act_horizon_n),CHOOSE(smp_act_scn_idx,AZ241,CA241,DB241),"")</f>
        <v>0</v>
      </c>
      <c r="Y95" s="62">
        <f>IF(AND(OR(smp_act_view_idx=2,smp_act_view_idx=4),23&lt;=smp_act_horizon_n),CHOOSE(smp_act_scn_idx,BA241,CB241,DC241),"")</f>
        <v>0</v>
      </c>
      <c r="Z95" s="62">
        <f>IF(AND(OR(smp_act_view_idx=2,smp_act_view_idx=4),24&lt;=smp_act_horizon_n),CHOOSE(smp_act_scn_idx,BB241,CC241,DD241),"")</f>
        <v>0</v>
      </c>
      <c r="AA95" s="1"/>
      <c r="AB95" s="63">
        <f>IF(OR(smp_act_view_idx=2,smp_act_view_idx=4),CHOOSE(smp_act_scn_idx,BC241,CD241,DE241),"")</f>
        <v>0</v>
      </c>
      <c r="AC95" s="63">
        <f>IF(AND(OR(smp_act_view_idx=2,smp_act_view_idx=4),smp_act_horizon_n&gt;=24),CHOOSE(smp_act_scn_idx,BD241,CE241,DF241),"")</f>
        <v>0</v>
      </c>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c r="DH95"/>
    </row>
    <row r="96" spans="1:112" ht="20" customHeight="1" x14ac:dyDescent="0.2">
      <c r="A96" s="1"/>
      <c r="B96" s="22" t="str">
        <f>IF(OR(smp_act_view_idx=2,smp_act_view_idx=4),"   − Debt principal repayments","")</f>
        <v xml:space="preserve">   − Debt principal repayments</v>
      </c>
      <c r="C96" s="62">
        <f>IF(AND(OR(smp_act_view_idx=2,smp_act_view_idx=4),1&lt;=smp_act_horizon_n),CHOOSE(smp_act_scn_idx,(-AE242),(-BF242),(-CG242)),"")</f>
        <v>-8333</v>
      </c>
      <c r="D96" s="62">
        <f>IF(AND(OR(smp_act_view_idx=2,smp_act_view_idx=4),2&lt;=smp_act_horizon_n),CHOOSE(smp_act_scn_idx,(-AF242),(-BG242),(-CH242)),"")</f>
        <v>-8333</v>
      </c>
      <c r="E96" s="62">
        <f>IF(AND(OR(smp_act_view_idx=2,smp_act_view_idx=4),3&lt;=smp_act_horizon_n),CHOOSE(smp_act_scn_idx,(-AG242),(-BH242),(-CI242)),"")</f>
        <v>-8333</v>
      </c>
      <c r="F96" s="62">
        <f>IF(AND(OR(smp_act_view_idx=2,smp_act_view_idx=4),4&lt;=smp_act_horizon_n),CHOOSE(smp_act_scn_idx,(-AH242),(-BI242),(-CJ242)),"")</f>
        <v>-8333</v>
      </c>
      <c r="G96" s="62">
        <f>IF(AND(OR(smp_act_view_idx=2,smp_act_view_idx=4),5&lt;=smp_act_horizon_n),CHOOSE(smp_act_scn_idx,(-AI242),(-BJ242),(-CK242)),"")</f>
        <v>-8333</v>
      </c>
      <c r="H96" s="62">
        <f>IF(AND(OR(smp_act_view_idx=2,smp_act_view_idx=4),6&lt;=smp_act_horizon_n),CHOOSE(smp_act_scn_idx,(-AJ242),(-BK242),(-CL242)),"")</f>
        <v>-8333</v>
      </c>
      <c r="I96" s="62">
        <f>IF(AND(OR(smp_act_view_idx=2,smp_act_view_idx=4),7&lt;=smp_act_horizon_n),CHOOSE(smp_act_scn_idx,(-AK242),(-BL242),(-CM242)),"")</f>
        <v>-8333</v>
      </c>
      <c r="J96" s="62">
        <f>IF(AND(OR(smp_act_view_idx=2,smp_act_view_idx=4),8&lt;=smp_act_horizon_n),CHOOSE(smp_act_scn_idx,(-AL242),(-BM242),(-CN242)),"")</f>
        <v>-8333</v>
      </c>
      <c r="K96" s="62">
        <f>IF(AND(OR(smp_act_view_idx=2,smp_act_view_idx=4),9&lt;=smp_act_horizon_n),CHOOSE(smp_act_scn_idx,(-AM242),(-BN242),(-CO242)),"")</f>
        <v>-8333</v>
      </c>
      <c r="L96" s="62">
        <f>IF(AND(OR(smp_act_view_idx=2,smp_act_view_idx=4),10&lt;=smp_act_horizon_n),CHOOSE(smp_act_scn_idx,(-AN242),(-BO242),(-CP242)),"")</f>
        <v>-8333</v>
      </c>
      <c r="M96" s="62">
        <f>IF(AND(OR(smp_act_view_idx=2,smp_act_view_idx=4),11&lt;=smp_act_horizon_n),CHOOSE(smp_act_scn_idx,(-AO242),(-BP242),(-CQ242)),"")</f>
        <v>-8333</v>
      </c>
      <c r="N96" s="62">
        <f>IF(AND(OR(smp_act_view_idx=2,smp_act_view_idx=4),12&lt;=smp_act_horizon_n),CHOOSE(smp_act_scn_idx,(-AP242),(-BQ242),(-CR242)),"")</f>
        <v>-8333</v>
      </c>
      <c r="O96" s="62">
        <f>IF(AND(OR(smp_act_view_idx=2,smp_act_view_idx=4),13&lt;=smp_act_horizon_n),CHOOSE(smp_act_scn_idx,(-AQ242),(-BR242),(-CS242)),"")</f>
        <v>-8333</v>
      </c>
      <c r="P96" s="62">
        <f>IF(AND(OR(smp_act_view_idx=2,smp_act_view_idx=4),14&lt;=smp_act_horizon_n),CHOOSE(smp_act_scn_idx,(-AR242),(-BS242),(-CT242)),"")</f>
        <v>-8333</v>
      </c>
      <c r="Q96" s="62">
        <f>IF(AND(OR(smp_act_view_idx=2,smp_act_view_idx=4),15&lt;=smp_act_horizon_n),CHOOSE(smp_act_scn_idx,(-AS242),(-BT242),(-CU242)),"")</f>
        <v>-8333</v>
      </c>
      <c r="R96" s="62">
        <f>IF(AND(OR(smp_act_view_idx=2,smp_act_view_idx=4),16&lt;=smp_act_horizon_n),CHOOSE(smp_act_scn_idx,(-AT242),(-BU242),(-CV242)),"")</f>
        <v>-8333</v>
      </c>
      <c r="S96" s="62">
        <f>IF(AND(OR(smp_act_view_idx=2,smp_act_view_idx=4),17&lt;=smp_act_horizon_n),CHOOSE(smp_act_scn_idx,(-AU242),(-BV242),(-CW242)),"")</f>
        <v>-8333</v>
      </c>
      <c r="T96" s="62">
        <f>IF(AND(OR(smp_act_view_idx=2,smp_act_view_idx=4),18&lt;=smp_act_horizon_n),CHOOSE(smp_act_scn_idx,(-AV242),(-BW242),(-CX242)),"")</f>
        <v>-8333</v>
      </c>
      <c r="U96" s="62">
        <f>IF(AND(OR(smp_act_view_idx=2,smp_act_view_idx=4),19&lt;=smp_act_horizon_n),CHOOSE(smp_act_scn_idx,(-AW242),(-BX242),(-CY242)),"")</f>
        <v>-8333</v>
      </c>
      <c r="V96" s="62">
        <f>IF(AND(OR(smp_act_view_idx=2,smp_act_view_idx=4),20&lt;=smp_act_horizon_n),CHOOSE(smp_act_scn_idx,(-AX242),(-BY242),(-CZ242)),"")</f>
        <v>-8333</v>
      </c>
      <c r="W96" s="62">
        <f>IF(AND(OR(smp_act_view_idx=2,smp_act_view_idx=4),21&lt;=smp_act_horizon_n),CHOOSE(smp_act_scn_idx,(-AY242),(-BZ242),(-DA242)),"")</f>
        <v>-8333</v>
      </c>
      <c r="X96" s="62">
        <f>IF(AND(OR(smp_act_view_idx=2,smp_act_view_idx=4),22&lt;=smp_act_horizon_n),CHOOSE(smp_act_scn_idx,(-AZ242),(-CA242),(-DB242)),"")</f>
        <v>-8333</v>
      </c>
      <c r="Y96" s="62">
        <f>IF(AND(OR(smp_act_view_idx=2,smp_act_view_idx=4),23&lt;=smp_act_horizon_n),CHOOSE(smp_act_scn_idx,(-BA242),(-CB242),(-DC242)),"")</f>
        <v>-8333</v>
      </c>
      <c r="Z96" s="62">
        <f>IF(AND(OR(smp_act_view_idx=2,smp_act_view_idx=4),24&lt;=smp_act_horizon_n),CHOOSE(smp_act_scn_idx,(-BB242),(-CC242),(-DD242)),"")</f>
        <v>-8333</v>
      </c>
      <c r="AA96" s="1"/>
      <c r="AB96" s="63">
        <f>IF(OR(smp_act_view_idx=2,smp_act_view_idx=4),CHOOSE(smp_act_scn_idx,(-BC242),(-CD242),(-DE242)),"")</f>
        <v>-99996</v>
      </c>
      <c r="AC96" s="63">
        <f>IF(AND(OR(smp_act_view_idx=2,smp_act_view_idx=4),smp_act_horizon_n&gt;=24),CHOOSE(smp_act_scn_idx,(-BD242),(-CE242),(-DF242)),"")</f>
        <v>-99996</v>
      </c>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c r="DH96"/>
    </row>
    <row r="97" spans="1:112" ht="20" customHeight="1" x14ac:dyDescent="0.2">
      <c r="A97" s="1"/>
      <c r="B97" s="22" t="str">
        <f>IF(OR(smp_act_view_idx=2,smp_act_view_idx=4),"   − Owner distributions","")</f>
        <v xml:space="preserve">   − Owner distributions</v>
      </c>
      <c r="C97" s="62">
        <f>IF(AND(OR(smp_act_view_idx=2,smp_act_view_idx=4),1&lt;=smp_act_horizon_n),CHOOSE(smp_act_scn_idx,(-AE243),(-BF243),(-CG243)),"")</f>
        <v>-8000</v>
      </c>
      <c r="D97" s="62">
        <f>IF(AND(OR(smp_act_view_idx=2,smp_act_view_idx=4),2&lt;=smp_act_horizon_n),CHOOSE(smp_act_scn_idx,(-AF243),(-BG243),(-CH243)),"")</f>
        <v>-8000</v>
      </c>
      <c r="E97" s="62">
        <f>IF(AND(OR(smp_act_view_idx=2,smp_act_view_idx=4),3&lt;=smp_act_horizon_n),CHOOSE(smp_act_scn_idx,(-AG243),(-BH243),(-CI243)),"")</f>
        <v>-8000</v>
      </c>
      <c r="F97" s="62">
        <f>IF(AND(OR(smp_act_view_idx=2,smp_act_view_idx=4),4&lt;=smp_act_horizon_n),CHOOSE(smp_act_scn_idx,(-AH243),(-BI243),(-CJ243)),"")</f>
        <v>-8000</v>
      </c>
      <c r="G97" s="62">
        <f>IF(AND(OR(smp_act_view_idx=2,smp_act_view_idx=4),5&lt;=smp_act_horizon_n),CHOOSE(smp_act_scn_idx,(-AI243),(-BJ243),(-CK243)),"")</f>
        <v>-8000</v>
      </c>
      <c r="H97" s="62">
        <f>IF(AND(OR(smp_act_view_idx=2,smp_act_view_idx=4),6&lt;=smp_act_horizon_n),CHOOSE(smp_act_scn_idx,(-AJ243),(-BK243),(-CL243)),"")</f>
        <v>-8000</v>
      </c>
      <c r="I97" s="62">
        <f>IF(AND(OR(smp_act_view_idx=2,smp_act_view_idx=4),7&lt;=smp_act_horizon_n),CHOOSE(smp_act_scn_idx,(-AK243),(-BL243),(-CM243)),"")</f>
        <v>-8000</v>
      </c>
      <c r="J97" s="62">
        <f>IF(AND(OR(smp_act_view_idx=2,smp_act_view_idx=4),8&lt;=smp_act_horizon_n),CHOOSE(smp_act_scn_idx,(-AL243),(-BM243),(-CN243)),"")</f>
        <v>-8000</v>
      </c>
      <c r="K97" s="62">
        <f>IF(AND(OR(smp_act_view_idx=2,smp_act_view_idx=4),9&lt;=smp_act_horizon_n),CHOOSE(smp_act_scn_idx,(-AM243),(-BN243),(-CO243)),"")</f>
        <v>-8000</v>
      </c>
      <c r="L97" s="62">
        <f>IF(AND(OR(smp_act_view_idx=2,smp_act_view_idx=4),10&lt;=smp_act_horizon_n),CHOOSE(smp_act_scn_idx,(-AN243),(-BO243),(-CP243)),"")</f>
        <v>-8000</v>
      </c>
      <c r="M97" s="62">
        <f>IF(AND(OR(smp_act_view_idx=2,smp_act_view_idx=4),11&lt;=smp_act_horizon_n),CHOOSE(smp_act_scn_idx,(-AO243),(-BP243),(-CQ243)),"")</f>
        <v>-8000</v>
      </c>
      <c r="N97" s="62">
        <f>IF(AND(OR(smp_act_view_idx=2,smp_act_view_idx=4),12&lt;=smp_act_horizon_n),CHOOSE(smp_act_scn_idx,(-AP243),(-BQ243),(-CR243)),"")</f>
        <v>-38000</v>
      </c>
      <c r="O97" s="62">
        <f>IF(AND(OR(smp_act_view_idx=2,smp_act_view_idx=4),13&lt;=smp_act_horizon_n),CHOOSE(smp_act_scn_idx,(-AQ243),(-BR243),(-CS243)),"")</f>
        <v>-8000</v>
      </c>
      <c r="P97" s="62">
        <f>IF(AND(OR(smp_act_view_idx=2,smp_act_view_idx=4),14&lt;=smp_act_horizon_n),CHOOSE(smp_act_scn_idx,(-AR243),(-BS243),(-CT243)),"")</f>
        <v>-8000</v>
      </c>
      <c r="Q97" s="62">
        <f>IF(AND(OR(smp_act_view_idx=2,smp_act_view_idx=4),15&lt;=smp_act_horizon_n),CHOOSE(smp_act_scn_idx,(-AS243),(-BT243),(-CU243)),"")</f>
        <v>-8000</v>
      </c>
      <c r="R97" s="62">
        <f>IF(AND(OR(smp_act_view_idx=2,smp_act_view_idx=4),16&lt;=smp_act_horizon_n),CHOOSE(smp_act_scn_idx,(-AT243),(-BU243),(-CV243)),"")</f>
        <v>-8000</v>
      </c>
      <c r="S97" s="62">
        <f>IF(AND(OR(smp_act_view_idx=2,smp_act_view_idx=4),17&lt;=smp_act_horizon_n),CHOOSE(smp_act_scn_idx,(-AU243),(-BV243),(-CW243)),"")</f>
        <v>-8000</v>
      </c>
      <c r="T97" s="62">
        <f>IF(AND(OR(smp_act_view_idx=2,smp_act_view_idx=4),18&lt;=smp_act_horizon_n),CHOOSE(smp_act_scn_idx,(-AV243),(-BW243),(-CX243)),"")</f>
        <v>-8000</v>
      </c>
      <c r="U97" s="62">
        <f>IF(AND(OR(smp_act_view_idx=2,smp_act_view_idx=4),19&lt;=smp_act_horizon_n),CHOOSE(smp_act_scn_idx,(-AW243),(-BX243),(-CY243)),"")</f>
        <v>-8000</v>
      </c>
      <c r="V97" s="62">
        <f>IF(AND(OR(smp_act_view_idx=2,smp_act_view_idx=4),20&lt;=smp_act_horizon_n),CHOOSE(smp_act_scn_idx,(-AX243),(-BY243),(-CZ243)),"")</f>
        <v>-8000</v>
      </c>
      <c r="W97" s="62">
        <f>IF(AND(OR(smp_act_view_idx=2,smp_act_view_idx=4),21&lt;=smp_act_horizon_n),CHOOSE(smp_act_scn_idx,(-AY243),(-BZ243),(-DA243)),"")</f>
        <v>-8000</v>
      </c>
      <c r="X97" s="62">
        <f>IF(AND(OR(smp_act_view_idx=2,smp_act_view_idx=4),22&lt;=smp_act_horizon_n),CHOOSE(smp_act_scn_idx,(-AZ243),(-CA243),(-DB243)),"")</f>
        <v>-8000</v>
      </c>
      <c r="Y97" s="62">
        <f>IF(AND(OR(smp_act_view_idx=2,smp_act_view_idx=4),23&lt;=smp_act_horizon_n),CHOOSE(smp_act_scn_idx,(-BA243),(-CB243),(-DC243)),"")</f>
        <v>-8000</v>
      </c>
      <c r="Z97" s="62">
        <f>IF(AND(OR(smp_act_view_idx=2,smp_act_view_idx=4),24&lt;=smp_act_horizon_n),CHOOSE(smp_act_scn_idx,(-BB243),(-CC243),(-DD243)),"")</f>
        <v>-42000</v>
      </c>
      <c r="AA97" s="1"/>
      <c r="AB97" s="63">
        <f>IF(OR(smp_act_view_idx=2,smp_act_view_idx=4),CHOOSE(smp_act_scn_idx,(-BC243),(-CD243),(-DE243)),"")</f>
        <v>-126000</v>
      </c>
      <c r="AC97" s="63">
        <f>IF(AND(OR(smp_act_view_idx=2,smp_act_view_idx=4),smp_act_horizon_n&gt;=24),CHOOSE(smp_act_scn_idx,(-BD243),(-CE243),(-DF243)),"")</f>
        <v>-130000</v>
      </c>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c r="DH97"/>
    </row>
    <row r="98" spans="1:112" ht="20" customHeight="1" x14ac:dyDescent="0.2">
      <c r="A98" s="1"/>
      <c r="B98" s="22" t="str">
        <f>IF(OR(smp_act_view_idx=2,smp_act_view_idx=4),"   + Equity contributions","")</f>
        <v xml:space="preserve">   + Equity contributions</v>
      </c>
      <c r="C98" s="62">
        <f>IF(AND(OR(smp_act_view_idx=2,smp_act_view_idx=4),1&lt;=smp_act_horizon_n),CHOOSE(smp_act_scn_idx,AE244,BF244,CG244),"")</f>
        <v>0</v>
      </c>
      <c r="D98" s="62">
        <f>IF(AND(OR(smp_act_view_idx=2,smp_act_view_idx=4),2&lt;=smp_act_horizon_n),CHOOSE(smp_act_scn_idx,AF244,BG244,CH244),"")</f>
        <v>0</v>
      </c>
      <c r="E98" s="62">
        <f>IF(AND(OR(smp_act_view_idx=2,smp_act_view_idx=4),3&lt;=smp_act_horizon_n),CHOOSE(smp_act_scn_idx,AG244,BH244,CI244),"")</f>
        <v>0</v>
      </c>
      <c r="F98" s="62">
        <f>IF(AND(OR(smp_act_view_idx=2,smp_act_view_idx=4),4&lt;=smp_act_horizon_n),CHOOSE(smp_act_scn_idx,AH244,BI244,CJ244),"")</f>
        <v>0</v>
      </c>
      <c r="G98" s="62">
        <f>IF(AND(OR(smp_act_view_idx=2,smp_act_view_idx=4),5&lt;=smp_act_horizon_n),CHOOSE(smp_act_scn_idx,AI244,BJ244,CK244),"")</f>
        <v>0</v>
      </c>
      <c r="H98" s="62">
        <f>IF(AND(OR(smp_act_view_idx=2,smp_act_view_idx=4),6&lt;=smp_act_horizon_n),CHOOSE(smp_act_scn_idx,AJ244,BK244,CL244),"")</f>
        <v>0</v>
      </c>
      <c r="I98" s="62">
        <f>IF(AND(OR(smp_act_view_idx=2,smp_act_view_idx=4),7&lt;=smp_act_horizon_n),CHOOSE(smp_act_scn_idx,AK244,BL244,CM244),"")</f>
        <v>0</v>
      </c>
      <c r="J98" s="62">
        <f>IF(AND(OR(smp_act_view_idx=2,smp_act_view_idx=4),8&lt;=smp_act_horizon_n),CHOOSE(smp_act_scn_idx,AL244,BM244,CN244),"")</f>
        <v>0</v>
      </c>
      <c r="K98" s="62">
        <f>IF(AND(OR(smp_act_view_idx=2,smp_act_view_idx=4),9&lt;=smp_act_horizon_n),CHOOSE(smp_act_scn_idx,AM244,BN244,CO244),"")</f>
        <v>0</v>
      </c>
      <c r="L98" s="62">
        <f>IF(AND(OR(smp_act_view_idx=2,smp_act_view_idx=4),10&lt;=smp_act_horizon_n),CHOOSE(smp_act_scn_idx,AN244,BO244,CP244),"")</f>
        <v>0</v>
      </c>
      <c r="M98" s="62">
        <f>IF(AND(OR(smp_act_view_idx=2,smp_act_view_idx=4),11&lt;=smp_act_horizon_n),CHOOSE(smp_act_scn_idx,AO244,BP244,CQ244),"")</f>
        <v>0</v>
      </c>
      <c r="N98" s="62">
        <f>IF(AND(OR(smp_act_view_idx=2,smp_act_view_idx=4),12&lt;=smp_act_horizon_n),CHOOSE(smp_act_scn_idx,AP244,BQ244,CR244),"")</f>
        <v>0</v>
      </c>
      <c r="O98" s="62">
        <f>IF(AND(OR(smp_act_view_idx=2,smp_act_view_idx=4),13&lt;=smp_act_horizon_n),CHOOSE(smp_act_scn_idx,AQ244,BR244,CS244),"")</f>
        <v>0</v>
      </c>
      <c r="P98" s="62">
        <f>IF(AND(OR(smp_act_view_idx=2,smp_act_view_idx=4),14&lt;=smp_act_horizon_n),CHOOSE(smp_act_scn_idx,AR244,BS244,CT244),"")</f>
        <v>0</v>
      </c>
      <c r="Q98" s="62">
        <f>IF(AND(OR(smp_act_view_idx=2,smp_act_view_idx=4),15&lt;=smp_act_horizon_n),CHOOSE(smp_act_scn_idx,AS244,BT244,CU244),"")</f>
        <v>0</v>
      </c>
      <c r="R98" s="62">
        <f>IF(AND(OR(smp_act_view_idx=2,smp_act_view_idx=4),16&lt;=smp_act_horizon_n),CHOOSE(smp_act_scn_idx,AT244,BU244,CV244),"")</f>
        <v>0</v>
      </c>
      <c r="S98" s="62">
        <f>IF(AND(OR(smp_act_view_idx=2,smp_act_view_idx=4),17&lt;=smp_act_horizon_n),CHOOSE(smp_act_scn_idx,AU244,BV244,CW244),"")</f>
        <v>0</v>
      </c>
      <c r="T98" s="62">
        <f>IF(AND(OR(smp_act_view_idx=2,smp_act_view_idx=4),18&lt;=smp_act_horizon_n),CHOOSE(smp_act_scn_idx,AV244,BW244,CX244),"")</f>
        <v>0</v>
      </c>
      <c r="U98" s="62">
        <f>IF(AND(OR(smp_act_view_idx=2,smp_act_view_idx=4),19&lt;=smp_act_horizon_n),CHOOSE(smp_act_scn_idx,AW244,BX244,CY244),"")</f>
        <v>0</v>
      </c>
      <c r="V98" s="62">
        <f>IF(AND(OR(smp_act_view_idx=2,smp_act_view_idx=4),20&lt;=smp_act_horizon_n),CHOOSE(smp_act_scn_idx,AX244,BY244,CZ244),"")</f>
        <v>0</v>
      </c>
      <c r="W98" s="62">
        <f>IF(AND(OR(smp_act_view_idx=2,smp_act_view_idx=4),21&lt;=smp_act_horizon_n),CHOOSE(smp_act_scn_idx,AY244,BZ244,DA244),"")</f>
        <v>0</v>
      </c>
      <c r="X98" s="62">
        <f>IF(AND(OR(smp_act_view_idx=2,smp_act_view_idx=4),22&lt;=smp_act_horizon_n),CHOOSE(smp_act_scn_idx,AZ244,CA244,DB244),"")</f>
        <v>0</v>
      </c>
      <c r="Y98" s="62">
        <f>IF(AND(OR(smp_act_view_idx=2,smp_act_view_idx=4),23&lt;=smp_act_horizon_n),CHOOSE(smp_act_scn_idx,BA244,CB244,DC244),"")</f>
        <v>0</v>
      </c>
      <c r="Z98" s="62">
        <f>IF(AND(OR(smp_act_view_idx=2,smp_act_view_idx=4),24&lt;=smp_act_horizon_n),CHOOSE(smp_act_scn_idx,BB244,CC244,DD244),"")</f>
        <v>0</v>
      </c>
      <c r="AA98" s="1"/>
      <c r="AB98" s="63">
        <f>IF(OR(smp_act_view_idx=2,smp_act_view_idx=4),CHOOSE(smp_act_scn_idx,BC244,CD244,DE244),"")</f>
        <v>0</v>
      </c>
      <c r="AC98" s="63">
        <f>IF(AND(OR(smp_act_view_idx=2,smp_act_view_idx=4),smp_act_horizon_n&gt;=24),CHOOSE(smp_act_scn_idx,BD244,CE244,DF244),"")</f>
        <v>0</v>
      </c>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c r="DH98"/>
    </row>
    <row r="99" spans="1:112" ht="20" customHeight="1" x14ac:dyDescent="0.2">
      <c r="A99" s="1"/>
      <c r="B99" s="64" t="str">
        <f>IF(OR(smp_act_view_idx=2,smp_act_view_idx=4),"Financing cash flow","")</f>
        <v>Financing cash flow</v>
      </c>
      <c r="C99" s="65">
        <f>IF(AND(OR(smp_act_view_idx=2,smp_act_view_idx=4),1&lt;=smp_act_horizon_n),CHOOSE(smp_act_scn_idx,AE245,BF245,CG245),"")</f>
        <v>-16333</v>
      </c>
      <c r="D99" s="65">
        <f>IF(AND(OR(smp_act_view_idx=2,smp_act_view_idx=4),2&lt;=smp_act_horizon_n),CHOOSE(smp_act_scn_idx,AF245,BG245,CH245),"")</f>
        <v>-16333</v>
      </c>
      <c r="E99" s="65">
        <f>IF(AND(OR(smp_act_view_idx=2,smp_act_view_idx=4),3&lt;=smp_act_horizon_n),CHOOSE(smp_act_scn_idx,AG245,BH245,CI245),"")</f>
        <v>-16333</v>
      </c>
      <c r="F99" s="65">
        <f>IF(AND(OR(smp_act_view_idx=2,smp_act_view_idx=4),4&lt;=smp_act_horizon_n),CHOOSE(smp_act_scn_idx,AH245,BI245,CJ245),"")</f>
        <v>-16333</v>
      </c>
      <c r="G99" s="65">
        <f>IF(AND(OR(smp_act_view_idx=2,smp_act_view_idx=4),5&lt;=smp_act_horizon_n),CHOOSE(smp_act_scn_idx,AI245,BJ245,CK245),"")</f>
        <v>-16333</v>
      </c>
      <c r="H99" s="65">
        <f>IF(AND(OR(smp_act_view_idx=2,smp_act_view_idx=4),6&lt;=smp_act_horizon_n),CHOOSE(smp_act_scn_idx,AJ245,BK245,CL245),"")</f>
        <v>-16333</v>
      </c>
      <c r="I99" s="65">
        <f>IF(AND(OR(smp_act_view_idx=2,smp_act_view_idx=4),7&lt;=smp_act_horizon_n),CHOOSE(smp_act_scn_idx,AK245,BL245,CM245),"")</f>
        <v>-16333</v>
      </c>
      <c r="J99" s="65">
        <f>IF(AND(OR(smp_act_view_idx=2,smp_act_view_idx=4),8&lt;=smp_act_horizon_n),CHOOSE(smp_act_scn_idx,AL245,BM245,CN245),"")</f>
        <v>-16333</v>
      </c>
      <c r="K99" s="65">
        <f>IF(AND(OR(smp_act_view_idx=2,smp_act_view_idx=4),9&lt;=smp_act_horizon_n),CHOOSE(smp_act_scn_idx,AM245,BN245,CO245),"")</f>
        <v>-16333</v>
      </c>
      <c r="L99" s="65">
        <f>IF(AND(OR(smp_act_view_idx=2,smp_act_view_idx=4),10&lt;=smp_act_horizon_n),CHOOSE(smp_act_scn_idx,AN245,BO245,CP245),"")</f>
        <v>-16333</v>
      </c>
      <c r="M99" s="65">
        <f>IF(AND(OR(smp_act_view_idx=2,smp_act_view_idx=4),11&lt;=smp_act_horizon_n),CHOOSE(smp_act_scn_idx,AO245,BP245,CQ245),"")</f>
        <v>-16333</v>
      </c>
      <c r="N99" s="65">
        <f>IF(AND(OR(smp_act_view_idx=2,smp_act_view_idx=4),12&lt;=smp_act_horizon_n),CHOOSE(smp_act_scn_idx,AP245,BQ245,CR245),"")</f>
        <v>-46333</v>
      </c>
      <c r="O99" s="65">
        <f>IF(AND(OR(smp_act_view_idx=2,smp_act_view_idx=4),13&lt;=smp_act_horizon_n),CHOOSE(smp_act_scn_idx,AQ245,BR245,CS245),"")</f>
        <v>-16333</v>
      </c>
      <c r="P99" s="65">
        <f>IF(AND(OR(smp_act_view_idx=2,smp_act_view_idx=4),14&lt;=smp_act_horizon_n),CHOOSE(smp_act_scn_idx,AR245,BS245,CT245),"")</f>
        <v>-16333</v>
      </c>
      <c r="Q99" s="65">
        <f>IF(AND(OR(smp_act_view_idx=2,smp_act_view_idx=4),15&lt;=smp_act_horizon_n),CHOOSE(smp_act_scn_idx,AS245,BT245,CU245),"")</f>
        <v>-16333</v>
      </c>
      <c r="R99" s="65">
        <f>IF(AND(OR(smp_act_view_idx=2,smp_act_view_idx=4),16&lt;=smp_act_horizon_n),CHOOSE(smp_act_scn_idx,AT245,BU245,CV245),"")</f>
        <v>-16333</v>
      </c>
      <c r="S99" s="65">
        <f>IF(AND(OR(smp_act_view_idx=2,smp_act_view_idx=4),17&lt;=smp_act_horizon_n),CHOOSE(smp_act_scn_idx,AU245,BV245,CW245),"")</f>
        <v>-16333</v>
      </c>
      <c r="T99" s="65">
        <f>IF(AND(OR(smp_act_view_idx=2,smp_act_view_idx=4),18&lt;=smp_act_horizon_n),CHOOSE(smp_act_scn_idx,AV245,BW245,CX245),"")</f>
        <v>-16333</v>
      </c>
      <c r="U99" s="65">
        <f>IF(AND(OR(smp_act_view_idx=2,smp_act_view_idx=4),19&lt;=smp_act_horizon_n),CHOOSE(smp_act_scn_idx,AW245,BX245,CY245),"")</f>
        <v>-16333</v>
      </c>
      <c r="V99" s="65">
        <f>IF(AND(OR(smp_act_view_idx=2,smp_act_view_idx=4),20&lt;=smp_act_horizon_n),CHOOSE(smp_act_scn_idx,AX245,BY245,CZ245),"")</f>
        <v>-16333</v>
      </c>
      <c r="W99" s="65">
        <f>IF(AND(OR(smp_act_view_idx=2,smp_act_view_idx=4),21&lt;=smp_act_horizon_n),CHOOSE(smp_act_scn_idx,AY245,BZ245,DA245),"")</f>
        <v>-16333</v>
      </c>
      <c r="X99" s="65">
        <f>IF(AND(OR(smp_act_view_idx=2,smp_act_view_idx=4),22&lt;=smp_act_horizon_n),CHOOSE(smp_act_scn_idx,AZ245,CA245,DB245),"")</f>
        <v>-16333</v>
      </c>
      <c r="Y99" s="65">
        <f>IF(AND(OR(smp_act_view_idx=2,smp_act_view_idx=4),23&lt;=smp_act_horizon_n),CHOOSE(smp_act_scn_idx,BA245,CB245,DC245),"")</f>
        <v>-16333</v>
      </c>
      <c r="Z99" s="65">
        <f>IF(AND(OR(smp_act_view_idx=2,smp_act_view_idx=4),24&lt;=smp_act_horizon_n),CHOOSE(smp_act_scn_idx,BB245,CC245,DD245),"")</f>
        <v>-50333</v>
      </c>
      <c r="AA99" s="1"/>
      <c r="AB99" s="65">
        <f>IF(OR(smp_act_view_idx=2,smp_act_view_idx=4),CHOOSE(smp_act_scn_idx,BC245,CD245,DE245),"")</f>
        <v>-225996</v>
      </c>
      <c r="AC99" s="65">
        <f>IF(AND(OR(smp_act_view_idx=2,smp_act_view_idx=4),smp_act_horizon_n&gt;=24),CHOOSE(smp_act_scn_idx,BD245,CE245,DF245),"")</f>
        <v>-229996</v>
      </c>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c r="DH99"/>
    </row>
    <row r="100" spans="1:112" ht="20" customHeight="1" x14ac:dyDescent="0.2">
      <c r="A100" s="1"/>
      <c r="B100" s="66" t="str">
        <f>IF(OR(smp_act_view_idx=2,smp_act_view_idx=4),"NET CHANGE IN CASH","")</f>
        <v>NET CHANGE IN CASH</v>
      </c>
      <c r="C100" s="67">
        <f>IF(AND(OR(smp_act_view_idx=2,smp_act_view_idx=4),1&lt;=smp_act_horizon_n),CHOOSE(smp_act_scn_idx,AE246,BF246,CG246),"")</f>
        <v>16927.203333333338</v>
      </c>
      <c r="D100" s="67">
        <f>IF(AND(OR(smp_act_view_idx=2,smp_act_view_idx=4),2&lt;=smp_act_horizon_n),CHOOSE(smp_act_scn_idx,AF246,BG246,CH246),"")</f>
        <v>25525.478750000002</v>
      </c>
      <c r="E100" s="67">
        <f>IF(AND(OR(smp_act_view_idx=2,smp_act_view_idx=4),3&lt;=smp_act_horizon_n),CHOOSE(smp_act_scn_idx,AG246,BH246,CI246),"")</f>
        <v>-852.24516666671116</v>
      </c>
      <c r="F100" s="67">
        <f>IF(AND(OR(smp_act_view_idx=2,smp_act_view_idx=4),4&lt;=smp_act_horizon_n),CHOOSE(smp_act_scn_idx,AH246,BI246,CJ246),"")</f>
        <v>-18976.893927083394</v>
      </c>
      <c r="G100" s="67">
        <f>IF(AND(OR(smp_act_view_idx=2,smp_act_view_idx=4),5&lt;=smp_act_horizon_n),CHOOSE(smp_act_scn_idx,AI246,BJ246,CK246),"")</f>
        <v>57511.73900000006</v>
      </c>
      <c r="H100" s="67">
        <f>IF(AND(OR(smp_act_view_idx=2,smp_act_view_idx=4),6&lt;=smp_act_horizon_n),CHOOSE(smp_act_scn_idx,AJ246,BK246,CL246),"")</f>
        <v>81173.449750000073</v>
      </c>
      <c r="I100" s="67">
        <f>IF(AND(OR(smp_act_view_idx=2,smp_act_view_idx=4),7&lt;=smp_act_horizon_n),CHOOSE(smp_act_scn_idx,AK246,BL246,CM246),"")</f>
        <v>79448.597833333435</v>
      </c>
      <c r="J100" s="67">
        <f>IF(AND(OR(smp_act_view_idx=2,smp_act_view_idx=4),8&lt;=smp_act_horizon_n),CHOOSE(smp_act_scn_idx,AL246,BM246,CN246),"")</f>
        <v>6957.6204062499964</v>
      </c>
      <c r="K100" s="67">
        <f>IF(AND(OR(smp_act_view_idx=2,smp_act_view_idx=4),9&lt;=smp_act_horizon_n),CHOOSE(smp_act_scn_idx,AM246,BN246,CO246),"")</f>
        <v>61762.737999999867</v>
      </c>
      <c r="L100" s="67">
        <f>IF(AND(OR(smp_act_view_idx=2,smp_act_view_idx=4),10&lt;=smp_act_horizon_n),CHOOSE(smp_act_scn_idx,AN246,BO246,CP246),"")</f>
        <v>7848.5532395833361</v>
      </c>
      <c r="M100" s="67">
        <f>IF(AND(OR(smp_act_view_idx=2,smp_act_view_idx=4),11&lt;=smp_act_horizon_n),CHOOSE(smp_act_scn_idx,AO246,BP246,CQ246),"")</f>
        <v>65723.824166666775</v>
      </c>
      <c r="N100" s="67">
        <f>IF(AND(OR(smp_act_view_idx=2,smp_act_view_idx=4),12&lt;=smp_act_horizon_n),CHOOSE(smp_act_scn_idx,AP246,BQ246,CR246),"")</f>
        <v>70198.804249999972</v>
      </c>
      <c r="O100" s="67">
        <f>IF(AND(OR(smp_act_view_idx=2,smp_act_view_idx=4),13&lt;=smp_act_horizon_n),CHOOSE(smp_act_scn_idx,AQ246,BR246,CS246),"")</f>
        <v>101481.79966666675</v>
      </c>
      <c r="P100" s="67">
        <f>IF(AND(OR(smp_act_view_idx=2,smp_act_view_idx=4),14&lt;=smp_act_horizon_n),CHOOSE(smp_act_scn_idx,AR246,BS246,CT246),"")</f>
        <v>92949.502416666728</v>
      </c>
      <c r="Q100" s="67">
        <f>IF(AND(OR(smp_act_view_idx=2,smp_act_view_idx=4),15&lt;=smp_act_horizon_n),CHOOSE(smp_act_scn_idx,AS246,BT246,CU246),"")</f>
        <v>102091.4478333334</v>
      </c>
      <c r="R100" s="67">
        <f>IF(AND(OR(smp_act_view_idx=2,smp_act_view_idx=4),16&lt;=smp_act_horizon_n),CHOOSE(smp_act_scn_idx,AT246,BU246,CV246),"")</f>
        <v>-25868.621427083403</v>
      </c>
      <c r="S100" s="67">
        <f>IF(AND(OR(smp_act_view_idx=2,smp_act_view_idx=4),17&lt;=smp_act_horizon_n),CHOOSE(smp_act_scn_idx,AU246,BV246,CW246),"")</f>
        <v>123936.54466666677</v>
      </c>
      <c r="T100" s="67">
        <f>IF(AND(OR(smp_act_view_idx=2,smp_act_view_idx=4),18&lt;=smp_act_horizon_n),CHOOSE(smp_act_scn_idx,AV246,BW246,CX246),"")</f>
        <v>139729.35408333328</v>
      </c>
      <c r="U100" s="67">
        <f>IF(AND(OR(smp_act_view_idx=2,smp_act_view_idx=4),19&lt;=smp_act_horizon_n),CHOOSE(smp_act_scn_idx,AW246,BX246,CY246),"")</f>
        <v>143098.68283333333</v>
      </c>
      <c r="V100" s="67">
        <f>IF(AND(OR(smp_act_view_idx=2,smp_act_view_idx=4),20&lt;=smp_act_horizon_n),CHOOSE(smp_act_scn_idx,AX246,BY246,CZ246),"")</f>
        <v>24389.730239583325</v>
      </c>
      <c r="W100" s="67">
        <f>IF(AND(OR(smp_act_view_idx=2,smp_act_view_idx=4),21&lt;=smp_act_horizon_n),CHOOSE(smp_act_scn_idx,AY246,BZ246,DA246),"")</f>
        <v>130237.77499999988</v>
      </c>
      <c r="X100" s="67">
        <f>IF(AND(OR(smp_act_view_idx=2,smp_act_view_idx=4),22&lt;=smp_act_horizon_n),CHOOSE(smp_act_scn_idx,AZ246,CA246,DB246),"")</f>
        <v>25700.423072916703</v>
      </c>
      <c r="Y100" s="67">
        <f>IF(AND(OR(smp_act_view_idx=2,smp_act_view_idx=4),23&lt;=smp_act_horizon_n),CHOOSE(smp_act_scn_idx,BA246,CB246,DC246),"")</f>
        <v>146104.70916666658</v>
      </c>
      <c r="Z100" s="67">
        <f>IF(AND(OR(smp_act_view_idx=2,smp_act_view_idx=4),24&lt;=smp_act_horizon_n),CHOOSE(smp_act_scn_idx,BB246,CC246,DD246),"")</f>
        <v>122140.00125000003</v>
      </c>
      <c r="AA100" s="1"/>
      <c r="AB100" s="67">
        <f>IF(OR(smp_act_view_idx=2,smp_act_view_idx=4),CHOOSE(smp_act_scn_idx,BC246,CD246,DE246),"")</f>
        <v>453248.86963541672</v>
      </c>
      <c r="AC100" s="67">
        <f>IF(AND(OR(smp_act_view_idx=2,smp_act_view_idx=4),smp_act_horizon_n&gt;=24),CHOOSE(smp_act_scn_idx,BD246,CE246,DF246),"")</f>
        <v>1125991.3488020834</v>
      </c>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c r="DH100"/>
    </row>
    <row r="101" spans="1:112" ht="20" customHeight="1" x14ac:dyDescent="0.2">
      <c r="A101" s="1"/>
      <c r="B101" s="22" t="str">
        <f>IF(OR(smp_act_view_idx=2,smp_act_view_idx=4),"   Opening cash","")</f>
        <v xml:space="preserve">   Opening cash</v>
      </c>
      <c r="C101" s="62">
        <f>IF(AND(OR(smp_act_view_idx=2,smp_act_view_idx=4),1&lt;=smp_act_horizon_n),CHOOSE(smp_act_scn_idx,AE247,BF247,CG247),"")</f>
        <v>520000</v>
      </c>
      <c r="D101" s="62">
        <f>IF(AND(OR(smp_act_view_idx=2,smp_act_view_idx=4),2&lt;=smp_act_horizon_n),CHOOSE(smp_act_scn_idx,AF247,BG247,CH247),"")</f>
        <v>536927.20333333337</v>
      </c>
      <c r="E101" s="62">
        <f>IF(AND(OR(smp_act_view_idx=2,smp_act_view_idx=4),3&lt;=smp_act_horizon_n),CHOOSE(smp_act_scn_idx,AG247,BH247,CI247),"")</f>
        <v>562452.68208333338</v>
      </c>
      <c r="F101" s="62">
        <f>IF(AND(OR(smp_act_view_idx=2,smp_act_view_idx=4),4&lt;=smp_act_horizon_n),CHOOSE(smp_act_scn_idx,AH247,BI247,CJ247),"")</f>
        <v>561600.43691666669</v>
      </c>
      <c r="G101" s="62">
        <f>IF(AND(OR(smp_act_view_idx=2,smp_act_view_idx=4),5&lt;=smp_act_horizon_n),CHOOSE(smp_act_scn_idx,AI247,BJ247,CK247),"")</f>
        <v>542623.54298958334</v>
      </c>
      <c r="H101" s="62">
        <f>IF(AND(OR(smp_act_view_idx=2,smp_act_view_idx=4),6&lt;=smp_act_horizon_n),CHOOSE(smp_act_scn_idx,AJ247,BK247,CL247),"")</f>
        <v>600135.2819895834</v>
      </c>
      <c r="I101" s="62">
        <f>IF(AND(OR(smp_act_view_idx=2,smp_act_view_idx=4),7&lt;=smp_act_horizon_n),CHOOSE(smp_act_scn_idx,AK247,BL247,CM247),"")</f>
        <v>681308.73173958343</v>
      </c>
      <c r="J101" s="62">
        <f>IF(AND(OR(smp_act_view_idx=2,smp_act_view_idx=4),8&lt;=smp_act_horizon_n),CHOOSE(smp_act_scn_idx,AL247,BM247,CN247),"")</f>
        <v>760757.32957291685</v>
      </c>
      <c r="K101" s="62">
        <f>IF(AND(OR(smp_act_view_idx=2,smp_act_view_idx=4),9&lt;=smp_act_horizon_n),CHOOSE(smp_act_scn_idx,AM247,BN247,CO247),"")</f>
        <v>767714.94997916685</v>
      </c>
      <c r="L101" s="62">
        <f>IF(AND(OR(smp_act_view_idx=2,smp_act_view_idx=4),10&lt;=smp_act_horizon_n),CHOOSE(smp_act_scn_idx,AN247,BO247,CP247),"")</f>
        <v>829477.68797916675</v>
      </c>
      <c r="M101" s="62">
        <f>IF(AND(OR(smp_act_view_idx=2,smp_act_view_idx=4),11&lt;=smp_act_horizon_n),CHOOSE(smp_act_scn_idx,AO247,BP247,CQ247),"")</f>
        <v>837326.24121875013</v>
      </c>
      <c r="N101" s="62">
        <f>IF(AND(OR(smp_act_view_idx=2,smp_act_view_idx=4),12&lt;=smp_act_horizon_n),CHOOSE(smp_act_scn_idx,AP247,BQ247,CR247),"")</f>
        <v>903050.06538541685</v>
      </c>
      <c r="O101" s="62">
        <f>IF(AND(OR(smp_act_view_idx=2,smp_act_view_idx=4),13&lt;=smp_act_horizon_n),CHOOSE(smp_act_scn_idx,AQ247,BR247,CS247),"")</f>
        <v>973248.86963541678</v>
      </c>
      <c r="P101" s="62">
        <f>IF(AND(OR(smp_act_view_idx=2,smp_act_view_idx=4),14&lt;=smp_act_horizon_n),CHOOSE(smp_act_scn_idx,AR247,BS247,CT247),"")</f>
        <v>1074730.6693020836</v>
      </c>
      <c r="Q101" s="62">
        <f>IF(AND(OR(smp_act_view_idx=2,smp_act_view_idx=4),15&lt;=smp_act_horizon_n),CHOOSE(smp_act_scn_idx,AS247,BT247,CU247),"")</f>
        <v>1167680.1717187504</v>
      </c>
      <c r="R101" s="62">
        <f>IF(AND(OR(smp_act_view_idx=2,smp_act_view_idx=4),16&lt;=smp_act_horizon_n),CHOOSE(smp_act_scn_idx,AT247,BU247,CV247),"")</f>
        <v>1269771.6195520838</v>
      </c>
      <c r="S101" s="62">
        <f>IF(AND(OR(smp_act_view_idx=2,smp_act_view_idx=4),17&lt;=smp_act_horizon_n),CHOOSE(smp_act_scn_idx,AU247,BV247,CW247),"")</f>
        <v>1243902.9981250004</v>
      </c>
      <c r="T101" s="62">
        <f>IF(AND(OR(smp_act_view_idx=2,smp_act_view_idx=4),18&lt;=smp_act_horizon_n),CHOOSE(smp_act_scn_idx,AV247,BW247,CX247),"")</f>
        <v>1367839.5427916672</v>
      </c>
      <c r="U101" s="62">
        <f>IF(AND(OR(smp_act_view_idx=2,smp_act_view_idx=4),19&lt;=smp_act_horizon_n),CHOOSE(smp_act_scn_idx,AW247,BX247,CY247),"")</f>
        <v>1507568.8968750006</v>
      </c>
      <c r="V101" s="62">
        <f>IF(AND(OR(smp_act_view_idx=2,smp_act_view_idx=4),20&lt;=smp_act_horizon_n),CHOOSE(smp_act_scn_idx,AX247,BY247,CZ247),"")</f>
        <v>1650667.5797083338</v>
      </c>
      <c r="W101" s="62">
        <f>IF(AND(OR(smp_act_view_idx=2,smp_act_view_idx=4),21&lt;=smp_act_horizon_n),CHOOSE(smp_act_scn_idx,AY247,BZ247,DA247),"")</f>
        <v>1675057.3099479172</v>
      </c>
      <c r="X101" s="62">
        <f>IF(AND(OR(smp_act_view_idx=2,smp_act_view_idx=4),22&lt;=smp_act_horizon_n),CHOOSE(smp_act_scn_idx,AZ247,CA247,DB247),"")</f>
        <v>1805295.0849479171</v>
      </c>
      <c r="Y101" s="62">
        <f>IF(AND(OR(smp_act_view_idx=2,smp_act_view_idx=4),23&lt;=smp_act_horizon_n),CHOOSE(smp_act_scn_idx,BA247,CB247,DC247),"")</f>
        <v>1830995.5080208338</v>
      </c>
      <c r="Z101" s="62">
        <f>IF(AND(OR(smp_act_view_idx=2,smp_act_view_idx=4),24&lt;=smp_act_horizon_n),CHOOSE(smp_act_scn_idx,BB247,CC247,DD247),"")</f>
        <v>1977100.2171875003</v>
      </c>
      <c r="AA101" s="1"/>
      <c r="AB101" s="63">
        <f>IF(OR(smp_act_view_idx=2,smp_act_view_idx=4),CHOOSE(smp_act_scn_idx,BC247,CD247,DE247),"")</f>
        <v>903050.06538541685</v>
      </c>
      <c r="AC101" s="63">
        <f>IF(AND(OR(smp_act_view_idx=2,smp_act_view_idx=4),smp_act_horizon_n&gt;=24),CHOOSE(smp_act_scn_idx,BD247,CE247,DF247),"")</f>
        <v>1977100.2171875003</v>
      </c>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c r="DH101"/>
    </row>
    <row r="102" spans="1:112" ht="20" customHeight="1" x14ac:dyDescent="0.2">
      <c r="A102" s="1"/>
      <c r="B102" s="66" t="str">
        <f>IF(OR(smp_act_view_idx=2,smp_act_view_idx=4),"CLOSING CASH","")</f>
        <v>CLOSING CASH</v>
      </c>
      <c r="C102" s="67">
        <f>IF(AND(OR(smp_act_view_idx=2,smp_act_view_idx=4),1&lt;=smp_act_horizon_n),CHOOSE(smp_act_scn_idx,AE248,BF248,CG248),"")</f>
        <v>536927.20333333337</v>
      </c>
      <c r="D102" s="67">
        <f>IF(AND(OR(smp_act_view_idx=2,smp_act_view_idx=4),2&lt;=smp_act_horizon_n),CHOOSE(smp_act_scn_idx,AF248,BG248,CH248),"")</f>
        <v>562452.68208333338</v>
      </c>
      <c r="E102" s="67">
        <f>IF(AND(OR(smp_act_view_idx=2,smp_act_view_idx=4),3&lt;=smp_act_horizon_n),CHOOSE(smp_act_scn_idx,AG248,BH248,CI248),"")</f>
        <v>561600.43691666669</v>
      </c>
      <c r="F102" s="67">
        <f>IF(AND(OR(smp_act_view_idx=2,smp_act_view_idx=4),4&lt;=smp_act_horizon_n),CHOOSE(smp_act_scn_idx,AH248,BI248,CJ248),"")</f>
        <v>542623.54298958334</v>
      </c>
      <c r="G102" s="67">
        <f>IF(AND(OR(smp_act_view_idx=2,smp_act_view_idx=4),5&lt;=smp_act_horizon_n),CHOOSE(smp_act_scn_idx,AI248,BJ248,CK248),"")</f>
        <v>600135.2819895834</v>
      </c>
      <c r="H102" s="67">
        <f>IF(AND(OR(smp_act_view_idx=2,smp_act_view_idx=4),6&lt;=smp_act_horizon_n),CHOOSE(smp_act_scn_idx,AJ248,BK248,CL248),"")</f>
        <v>681308.73173958343</v>
      </c>
      <c r="I102" s="67">
        <f>IF(AND(OR(smp_act_view_idx=2,smp_act_view_idx=4),7&lt;=smp_act_horizon_n),CHOOSE(smp_act_scn_idx,AK248,BL248,CM248),"")</f>
        <v>760757.32957291685</v>
      </c>
      <c r="J102" s="67">
        <f>IF(AND(OR(smp_act_view_idx=2,smp_act_view_idx=4),8&lt;=smp_act_horizon_n),CHOOSE(smp_act_scn_idx,AL248,BM248,CN248),"")</f>
        <v>767714.94997916685</v>
      </c>
      <c r="K102" s="67">
        <f>IF(AND(OR(smp_act_view_idx=2,smp_act_view_idx=4),9&lt;=smp_act_horizon_n),CHOOSE(smp_act_scn_idx,AM248,BN248,CO248),"")</f>
        <v>829477.68797916675</v>
      </c>
      <c r="L102" s="67">
        <f>IF(AND(OR(smp_act_view_idx=2,smp_act_view_idx=4),10&lt;=smp_act_horizon_n),CHOOSE(smp_act_scn_idx,AN248,BO248,CP248),"")</f>
        <v>837326.24121875013</v>
      </c>
      <c r="M102" s="67">
        <f>IF(AND(OR(smp_act_view_idx=2,smp_act_view_idx=4),11&lt;=smp_act_horizon_n),CHOOSE(smp_act_scn_idx,AO248,BP248,CQ248),"")</f>
        <v>903050.06538541685</v>
      </c>
      <c r="N102" s="67">
        <f>IF(AND(OR(smp_act_view_idx=2,smp_act_view_idx=4),12&lt;=smp_act_horizon_n),CHOOSE(smp_act_scn_idx,AP248,BQ248,CR248),"")</f>
        <v>973248.86963541678</v>
      </c>
      <c r="O102" s="67">
        <f>IF(AND(OR(smp_act_view_idx=2,smp_act_view_idx=4),13&lt;=smp_act_horizon_n),CHOOSE(smp_act_scn_idx,AQ248,BR248,CS248),"")</f>
        <v>1074730.6693020836</v>
      </c>
      <c r="P102" s="67">
        <f>IF(AND(OR(smp_act_view_idx=2,smp_act_view_idx=4),14&lt;=smp_act_horizon_n),CHOOSE(smp_act_scn_idx,AR248,BS248,CT248),"")</f>
        <v>1167680.1717187504</v>
      </c>
      <c r="Q102" s="67">
        <f>IF(AND(OR(smp_act_view_idx=2,smp_act_view_idx=4),15&lt;=smp_act_horizon_n),CHOOSE(smp_act_scn_idx,AS248,BT248,CU248),"")</f>
        <v>1269771.6195520838</v>
      </c>
      <c r="R102" s="67">
        <f>IF(AND(OR(smp_act_view_idx=2,smp_act_view_idx=4),16&lt;=smp_act_horizon_n),CHOOSE(smp_act_scn_idx,AT248,BU248,CV248),"")</f>
        <v>1243902.9981250004</v>
      </c>
      <c r="S102" s="67">
        <f>IF(AND(OR(smp_act_view_idx=2,smp_act_view_idx=4),17&lt;=smp_act_horizon_n),CHOOSE(smp_act_scn_idx,AU248,BV248,CW248),"")</f>
        <v>1367839.5427916672</v>
      </c>
      <c r="T102" s="67">
        <f>IF(AND(OR(smp_act_view_idx=2,smp_act_view_idx=4),18&lt;=smp_act_horizon_n),CHOOSE(smp_act_scn_idx,AV248,BW248,CX248),"")</f>
        <v>1507568.8968750006</v>
      </c>
      <c r="U102" s="67">
        <f>IF(AND(OR(smp_act_view_idx=2,smp_act_view_idx=4),19&lt;=smp_act_horizon_n),CHOOSE(smp_act_scn_idx,AW248,BX248,CY248),"")</f>
        <v>1650667.5797083338</v>
      </c>
      <c r="V102" s="67">
        <f>IF(AND(OR(smp_act_view_idx=2,smp_act_view_idx=4),20&lt;=smp_act_horizon_n),CHOOSE(smp_act_scn_idx,AX248,BY248,CZ248),"")</f>
        <v>1675057.3099479172</v>
      </c>
      <c r="W102" s="67">
        <f>IF(AND(OR(smp_act_view_idx=2,smp_act_view_idx=4),21&lt;=smp_act_horizon_n),CHOOSE(smp_act_scn_idx,AY248,BZ248,DA248),"")</f>
        <v>1805295.0849479171</v>
      </c>
      <c r="X102" s="67">
        <f>IF(AND(OR(smp_act_view_idx=2,smp_act_view_idx=4),22&lt;=smp_act_horizon_n),CHOOSE(smp_act_scn_idx,AZ248,CA248,DB248),"")</f>
        <v>1830995.5080208338</v>
      </c>
      <c r="Y102" s="67">
        <f>IF(AND(OR(smp_act_view_idx=2,smp_act_view_idx=4),23&lt;=smp_act_horizon_n),CHOOSE(smp_act_scn_idx,BA248,CB248,DC248),"")</f>
        <v>1977100.2171875003</v>
      </c>
      <c r="Z102" s="67">
        <f>IF(AND(OR(smp_act_view_idx=2,smp_act_view_idx=4),24&lt;=smp_act_horizon_n),CHOOSE(smp_act_scn_idx,BB248,CC248,DD248),"")</f>
        <v>2099240.2184375003</v>
      </c>
      <c r="AA102" s="1"/>
      <c r="AB102" s="67">
        <f>IF(OR(smp_act_view_idx=2,smp_act_view_idx=4),CHOOSE(smp_act_scn_idx,BC248,CD248,DE248),"")</f>
        <v>973248.86963541678</v>
      </c>
      <c r="AC102" s="67">
        <f>IF(AND(OR(smp_act_view_idx=2,smp_act_view_idx=4),smp_act_horizon_n&gt;=24),CHOOSE(smp_act_scn_idx,BD248,CE248,DF248),"")</f>
        <v>2099240.2184375003</v>
      </c>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c r="DH102"/>
    </row>
    <row r="103" spans="1:112" ht="20" customHeight="1" x14ac:dyDescent="0.2">
      <c r="A103" s="1"/>
      <c r="B103" s="60" t="str">
        <f>IF(OR(smp_act_view_idx=3,smp_act_view_idx=4),"■ BALANCE SHEET (closing balances)","")</f>
        <v>■ BALANCE SHEET (closing balances)</v>
      </c>
      <c r="C103" s="20"/>
      <c r="D103" s="20"/>
      <c r="E103" s="20"/>
      <c r="F103" s="20"/>
      <c r="G103" s="20"/>
      <c r="H103" s="20"/>
      <c r="I103" s="20"/>
      <c r="J103" s="20"/>
      <c r="K103" s="20"/>
      <c r="L103" s="20"/>
      <c r="M103" s="20"/>
      <c r="N103" s="20"/>
      <c r="O103" s="20"/>
      <c r="P103" s="20"/>
      <c r="Q103" s="20"/>
      <c r="R103" s="20"/>
      <c r="S103" s="20"/>
      <c r="T103" s="20"/>
      <c r="U103" s="20"/>
      <c r="V103" s="20"/>
      <c r="W103" s="20"/>
      <c r="X103" s="20"/>
      <c r="Y103" s="20"/>
      <c r="Z103" s="20"/>
      <c r="AA103" s="20"/>
      <c r="AB103" s="20"/>
      <c r="AC103" s="20"/>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c r="DC103" s="2"/>
      <c r="DD103" s="2"/>
      <c r="DE103" s="2"/>
      <c r="DF103" s="2"/>
      <c r="DG103"/>
      <c r="DH103"/>
    </row>
    <row r="104" spans="1:112" ht="20" customHeight="1" x14ac:dyDescent="0.2">
      <c r="A104" s="1"/>
      <c r="B104" s="61" t="str">
        <f>IF(OR(smp_act_view_idx=3,smp_act_view_idx=4),"ASSETS","")</f>
        <v>ASSETS</v>
      </c>
      <c r="C104" s="2"/>
      <c r="D104" s="2"/>
      <c r="E104" s="2"/>
      <c r="F104" s="2"/>
      <c r="G104" s="2"/>
      <c r="H104" s="2"/>
      <c r="I104" s="2"/>
      <c r="J104" s="2"/>
      <c r="K104" s="2"/>
      <c r="L104" s="2"/>
      <c r="M104" s="2"/>
      <c r="N104" s="2"/>
      <c r="O104" s="2"/>
      <c r="P104" s="2"/>
      <c r="Q104" s="2"/>
      <c r="R104" s="2"/>
      <c r="S104" s="2"/>
      <c r="T104" s="2"/>
      <c r="U104" s="2"/>
      <c r="V104" s="2"/>
      <c r="W104" s="2"/>
      <c r="X104" s="2"/>
      <c r="Y104" s="2"/>
      <c r="Z104" s="2"/>
      <c r="AA104" s="1"/>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c r="CY104" s="2"/>
      <c r="CZ104" s="2"/>
      <c r="DA104" s="2"/>
      <c r="DB104" s="2"/>
      <c r="DC104" s="2"/>
      <c r="DD104" s="2"/>
      <c r="DE104" s="2"/>
      <c r="DF104" s="2"/>
      <c r="DG104"/>
      <c r="DH104"/>
    </row>
    <row r="105" spans="1:112" ht="20" customHeight="1" x14ac:dyDescent="0.2">
      <c r="A105" s="1"/>
      <c r="B105" s="22" t="str">
        <f>IF(OR(smp_act_view_idx=3,smp_act_view_idx=4),"   Cash and equivalents","")</f>
        <v xml:space="preserve">   Cash and equivalents</v>
      </c>
      <c r="C105" s="62">
        <f>IF(AND(OR(smp_act_view_idx=3,smp_act_view_idx=4),1&lt;=smp_act_horizon_n),CHOOSE(smp_act_scn_idx,AE249,BF249,CG249),"")</f>
        <v>536927.20333333337</v>
      </c>
      <c r="D105" s="62">
        <f>IF(AND(OR(smp_act_view_idx=3,smp_act_view_idx=4),2&lt;=smp_act_horizon_n),CHOOSE(smp_act_scn_idx,AF249,BG249,CH249),"")</f>
        <v>562452.68208333338</v>
      </c>
      <c r="E105" s="62">
        <f>IF(AND(OR(smp_act_view_idx=3,smp_act_view_idx=4),3&lt;=smp_act_horizon_n),CHOOSE(smp_act_scn_idx,AG249,BH249,CI249),"")</f>
        <v>561600.43691666669</v>
      </c>
      <c r="F105" s="62">
        <f>IF(AND(OR(smp_act_view_idx=3,smp_act_view_idx=4),4&lt;=smp_act_horizon_n),CHOOSE(smp_act_scn_idx,AH249,BI249,CJ249),"")</f>
        <v>542623.54298958334</v>
      </c>
      <c r="G105" s="62">
        <f>IF(AND(OR(smp_act_view_idx=3,smp_act_view_idx=4),5&lt;=smp_act_horizon_n),CHOOSE(smp_act_scn_idx,AI249,BJ249,CK249),"")</f>
        <v>600135.2819895834</v>
      </c>
      <c r="H105" s="62">
        <f>IF(AND(OR(smp_act_view_idx=3,smp_act_view_idx=4),6&lt;=smp_act_horizon_n),CHOOSE(smp_act_scn_idx,AJ249,BK249,CL249),"")</f>
        <v>681308.73173958343</v>
      </c>
      <c r="I105" s="62">
        <f>IF(AND(OR(smp_act_view_idx=3,smp_act_view_idx=4),7&lt;=smp_act_horizon_n),CHOOSE(smp_act_scn_idx,AK249,BL249,CM249),"")</f>
        <v>760757.32957291685</v>
      </c>
      <c r="J105" s="62">
        <f>IF(AND(OR(smp_act_view_idx=3,smp_act_view_idx=4),8&lt;=smp_act_horizon_n),CHOOSE(smp_act_scn_idx,AL249,BM249,CN249),"")</f>
        <v>767714.94997916685</v>
      </c>
      <c r="K105" s="62">
        <f>IF(AND(OR(smp_act_view_idx=3,smp_act_view_idx=4),9&lt;=smp_act_horizon_n),CHOOSE(smp_act_scn_idx,AM249,BN249,CO249),"")</f>
        <v>829477.68797916675</v>
      </c>
      <c r="L105" s="62">
        <f>IF(AND(OR(smp_act_view_idx=3,smp_act_view_idx=4),10&lt;=smp_act_horizon_n),CHOOSE(smp_act_scn_idx,AN249,BO249,CP249),"")</f>
        <v>837326.24121875013</v>
      </c>
      <c r="M105" s="62">
        <f>IF(AND(OR(smp_act_view_idx=3,smp_act_view_idx=4),11&lt;=smp_act_horizon_n),CHOOSE(smp_act_scn_idx,AO249,BP249,CQ249),"")</f>
        <v>903050.06538541685</v>
      </c>
      <c r="N105" s="62">
        <f>IF(AND(OR(smp_act_view_idx=3,smp_act_view_idx=4),12&lt;=smp_act_horizon_n),CHOOSE(smp_act_scn_idx,AP249,BQ249,CR249),"")</f>
        <v>973248.86963541678</v>
      </c>
      <c r="O105" s="62">
        <f>IF(AND(OR(smp_act_view_idx=3,smp_act_view_idx=4),13&lt;=smp_act_horizon_n),CHOOSE(smp_act_scn_idx,AQ249,BR249,CS249),"")</f>
        <v>1074730.6693020836</v>
      </c>
      <c r="P105" s="62">
        <f>IF(AND(OR(smp_act_view_idx=3,smp_act_view_idx=4),14&lt;=smp_act_horizon_n),CHOOSE(smp_act_scn_idx,AR249,BS249,CT249),"")</f>
        <v>1167680.1717187504</v>
      </c>
      <c r="Q105" s="62">
        <f>IF(AND(OR(smp_act_view_idx=3,smp_act_view_idx=4),15&lt;=smp_act_horizon_n),CHOOSE(smp_act_scn_idx,AS249,BT249,CU249),"")</f>
        <v>1269771.6195520838</v>
      </c>
      <c r="R105" s="62">
        <f>IF(AND(OR(smp_act_view_idx=3,smp_act_view_idx=4),16&lt;=smp_act_horizon_n),CHOOSE(smp_act_scn_idx,AT249,BU249,CV249),"")</f>
        <v>1243902.9981250004</v>
      </c>
      <c r="S105" s="62">
        <f>IF(AND(OR(smp_act_view_idx=3,smp_act_view_idx=4),17&lt;=smp_act_horizon_n),CHOOSE(smp_act_scn_idx,AU249,BV249,CW249),"")</f>
        <v>1367839.5427916672</v>
      </c>
      <c r="T105" s="62">
        <f>IF(AND(OR(smp_act_view_idx=3,smp_act_view_idx=4),18&lt;=smp_act_horizon_n),CHOOSE(smp_act_scn_idx,AV249,BW249,CX249),"")</f>
        <v>1507568.8968750006</v>
      </c>
      <c r="U105" s="62">
        <f>IF(AND(OR(smp_act_view_idx=3,smp_act_view_idx=4),19&lt;=smp_act_horizon_n),CHOOSE(smp_act_scn_idx,AW249,BX249,CY249),"")</f>
        <v>1650667.5797083338</v>
      </c>
      <c r="V105" s="62">
        <f>IF(AND(OR(smp_act_view_idx=3,smp_act_view_idx=4),20&lt;=smp_act_horizon_n),CHOOSE(smp_act_scn_idx,AX249,BY249,CZ249),"")</f>
        <v>1675057.3099479172</v>
      </c>
      <c r="W105" s="62">
        <f>IF(AND(OR(smp_act_view_idx=3,smp_act_view_idx=4),21&lt;=smp_act_horizon_n),CHOOSE(smp_act_scn_idx,AY249,BZ249,DA249),"")</f>
        <v>1805295.0849479171</v>
      </c>
      <c r="X105" s="62">
        <f>IF(AND(OR(smp_act_view_idx=3,smp_act_view_idx=4),22&lt;=smp_act_horizon_n),CHOOSE(smp_act_scn_idx,AZ249,CA249,DB249),"")</f>
        <v>1830995.5080208338</v>
      </c>
      <c r="Y105" s="62">
        <f>IF(AND(OR(smp_act_view_idx=3,smp_act_view_idx=4),23&lt;=smp_act_horizon_n),CHOOSE(smp_act_scn_idx,BA249,CB249,DC249),"")</f>
        <v>1977100.2171875003</v>
      </c>
      <c r="Z105" s="62">
        <f>IF(AND(OR(smp_act_view_idx=3,smp_act_view_idx=4),24&lt;=smp_act_horizon_n),CHOOSE(smp_act_scn_idx,BB249,CC249,DD249),"")</f>
        <v>2099240.2184375003</v>
      </c>
      <c r="AA105" s="1"/>
      <c r="AB105" s="63">
        <f>IF(OR(smp_act_view_idx=3,smp_act_view_idx=4),CHOOSE(smp_act_scn_idx,BC249,CD249,DE249),"")</f>
        <v>973248.86963541678</v>
      </c>
      <c r="AC105" s="63">
        <f>IF(AND(OR(smp_act_view_idx=3,smp_act_view_idx=4),smp_act_horizon_n&gt;=24),CHOOSE(smp_act_scn_idx,BD249,CE249,DF249),"")</f>
        <v>2099240.2184375003</v>
      </c>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c r="DH105"/>
    </row>
    <row r="106" spans="1:112" ht="20" customHeight="1" x14ac:dyDescent="0.2">
      <c r="A106" s="1"/>
      <c r="B106" s="22" t="str">
        <f>IF(OR(smp_act_view_idx=3,smp_act_view_idx=4),"   Accounts receivable","")</f>
        <v xml:space="preserve">   Accounts receivable</v>
      </c>
      <c r="C106" s="62">
        <f>IF(AND(OR(smp_act_view_idx=3,smp_act_view_idx=4),1&lt;=smp_act_horizon_n),CHOOSE(smp_act_scn_idx,AE250,BF250,CG250),"")</f>
        <v>627000</v>
      </c>
      <c r="D106" s="62">
        <f>IF(AND(OR(smp_act_view_idx=3,smp_act_view_idx=4),2&lt;=smp_act_horizon_n),CHOOSE(smp_act_scn_idx,AF250,BG250,CH250),"")</f>
        <v>653125</v>
      </c>
      <c r="E106" s="62">
        <f>IF(AND(OR(smp_act_view_idx=3,smp_act_view_idx=4),3&lt;=smp_act_horizon_n),CHOOSE(smp_act_scn_idx,AG250,BH250,CI250),"")</f>
        <v>682733.33333333337</v>
      </c>
      <c r="F106" s="62">
        <f>IF(AND(OR(smp_act_view_idx=3,smp_act_view_idx=4),4&lt;=smp_act_horizon_n),CHOOSE(smp_act_scn_idx,AH250,BI250,CJ250),"")</f>
        <v>710600.00000000012</v>
      </c>
      <c r="G106" s="62">
        <f>IF(AND(OR(smp_act_view_idx=3,smp_act_view_idx=4),5&lt;=smp_act_horizon_n),CHOOSE(smp_act_scn_idx,AI250,BJ250,CK250),"")</f>
        <v>736725.00000000012</v>
      </c>
      <c r="H106" s="62">
        <f>IF(AND(OR(smp_act_view_idx=3,smp_act_view_idx=4),6&lt;=smp_act_horizon_n),CHOOSE(smp_act_scn_idx,AJ250,BK250,CL250),"")</f>
        <v>728016.66666666674</v>
      </c>
      <c r="I106" s="62">
        <f>IF(AND(OR(smp_act_view_idx=3,smp_act_view_idx=4),7&lt;=smp_act_horizon_n),CHOOSE(smp_act_scn_idx,AK250,BL250,CM250),"")</f>
        <v>717566.66666666663</v>
      </c>
      <c r="J106" s="62">
        <f>IF(AND(OR(smp_act_view_idx=3,smp_act_view_idx=4),8&lt;=smp_act_horizon_n),CHOOSE(smp_act_scn_idx,AL250,BM250,CN250),"")</f>
        <v>717566.66666666663</v>
      </c>
      <c r="K106" s="62">
        <f>IF(AND(OR(smp_act_view_idx=3,smp_act_view_idx=4),9&lt;=smp_act_horizon_n),CHOOSE(smp_act_scn_idx,AM250,BN250,CO250),"")</f>
        <v>745433.33333333349</v>
      </c>
      <c r="L106" s="62">
        <f>IF(AND(OR(smp_act_view_idx=3,smp_act_view_idx=4),10&lt;=smp_act_horizon_n),CHOOSE(smp_act_scn_idx,AN250,BO250,CP250),"")</f>
        <v>771558.33333333349</v>
      </c>
      <c r="M106" s="62">
        <f>IF(AND(OR(smp_act_view_idx=3,smp_act_view_idx=4),11&lt;=smp_act_horizon_n),CHOOSE(smp_act_scn_idx,AO250,BP250,CQ250),"")</f>
        <v>790716.66666666674</v>
      </c>
      <c r="N106" s="62">
        <f>IF(AND(OR(smp_act_view_idx=3,smp_act_view_idx=4),12&lt;=smp_act_horizon_n),CHOOSE(smp_act_scn_idx,AP250,BQ250,CR250),"")</f>
        <v>792458.33333333349</v>
      </c>
      <c r="O106" s="62">
        <f>IF(AND(OR(smp_act_view_idx=3,smp_act_view_idx=4),13&lt;=smp_act_horizon_n),CHOOSE(smp_act_scn_idx,AQ250,BR250,CS250),"")</f>
        <v>794200.00000000012</v>
      </c>
      <c r="P106" s="62">
        <f>IF(AND(OR(smp_act_view_idx=3,smp_act_view_idx=4),14&lt;=smp_act_horizon_n),CHOOSE(smp_act_scn_idx,AR250,BS250,CT250),"")</f>
        <v>818583.33333333337</v>
      </c>
      <c r="Q106" s="62">
        <f>IF(AND(OR(smp_act_view_idx=3,smp_act_view_idx=4),15&lt;=smp_act_horizon_n),CHOOSE(smp_act_scn_idx,AS250,BT250,CU250),"")</f>
        <v>842966.66666666663</v>
      </c>
      <c r="R106" s="62">
        <f>IF(AND(OR(smp_act_view_idx=3,smp_act_view_idx=4),16&lt;=smp_act_horizon_n),CHOOSE(smp_act_scn_idx,AT250,BU250,CV250),"")</f>
        <v>870833.33333333337</v>
      </c>
      <c r="S106" s="62">
        <f>IF(AND(OR(smp_act_view_idx=3,smp_act_view_idx=4),17&lt;=smp_act_horizon_n),CHOOSE(smp_act_scn_idx,AU250,BV250,CW250),"")</f>
        <v>889991.66666666663</v>
      </c>
      <c r="T106" s="62">
        <f>IF(AND(OR(smp_act_view_idx=3,smp_act_view_idx=4),18&lt;=smp_act_horizon_n),CHOOSE(smp_act_scn_idx,AV250,BW250,CX250),"")</f>
        <v>888250</v>
      </c>
      <c r="U106" s="62">
        <f>IF(AND(OR(smp_act_view_idx=3,smp_act_view_idx=4),19&lt;=smp_act_horizon_n),CHOOSE(smp_act_scn_idx,AW250,BX250,CY250),"")</f>
        <v>877800</v>
      </c>
      <c r="V106" s="62">
        <f>IF(AND(OR(smp_act_view_idx=3,smp_act_view_idx=4),20&lt;=smp_act_horizon_n),CHOOSE(smp_act_scn_idx,AX250,BY250,CZ250),"")</f>
        <v>879541.66666666663</v>
      </c>
      <c r="W106" s="62">
        <f>IF(AND(OR(smp_act_view_idx=3,smp_act_view_idx=4),21&lt;=smp_act_horizon_n),CHOOSE(smp_act_scn_idx,AY250,BZ250,DA250),"")</f>
        <v>896958.33333333337</v>
      </c>
      <c r="X106" s="62">
        <f>IF(AND(OR(smp_act_view_idx=3,smp_act_view_idx=4),22&lt;=smp_act_horizon_n),CHOOSE(smp_act_scn_idx,AZ250,CA250,DB250),"")</f>
        <v>914375</v>
      </c>
      <c r="Y106" s="62">
        <f>IF(AND(OR(smp_act_view_idx=3,smp_act_view_idx=4),23&lt;=smp_act_horizon_n),CHOOSE(smp_act_scn_idx,BA250,CB250,DC250),"")</f>
        <v>923083.33333333337</v>
      </c>
      <c r="Z106" s="62">
        <f>IF(AND(OR(smp_act_view_idx=3,smp_act_view_idx=4),24&lt;=smp_act_horizon_n),CHOOSE(smp_act_scn_idx,BB250,CC250,DD250),"")</f>
        <v>914375</v>
      </c>
      <c r="AA106" s="1"/>
      <c r="AB106" s="63">
        <f>IF(OR(smp_act_view_idx=3,smp_act_view_idx=4),CHOOSE(smp_act_scn_idx,BC250,CD250,DE250),"")</f>
        <v>792458.33333333349</v>
      </c>
      <c r="AC106" s="63">
        <f>IF(AND(OR(smp_act_view_idx=3,smp_act_view_idx=4),smp_act_horizon_n&gt;=24),CHOOSE(smp_act_scn_idx,BD250,CE250,DF250),"")</f>
        <v>914375</v>
      </c>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c r="DH106"/>
    </row>
    <row r="107" spans="1:112" ht="20" customHeight="1" x14ac:dyDescent="0.2">
      <c r="A107" s="1"/>
      <c r="B107" s="22" t="str">
        <f>IF(OR(smp_act_view_idx=3,smp_act_view_idx=4),"   Other current assets","")</f>
        <v xml:space="preserve">   Other current assets</v>
      </c>
      <c r="C107" s="62">
        <f>IF(AND(OR(smp_act_view_idx=3,smp_act_view_idx=4),1&lt;=smp_act_horizon_n),CHOOSE(smp_act_scn_idx,AE251,BF251,CG251),"")</f>
        <v>30000</v>
      </c>
      <c r="D107" s="62">
        <f>IF(AND(OR(smp_act_view_idx=3,smp_act_view_idx=4),2&lt;=smp_act_horizon_n),CHOOSE(smp_act_scn_idx,AF251,BG251,CH251),"")</f>
        <v>30000</v>
      </c>
      <c r="E107" s="62">
        <f>IF(AND(OR(smp_act_view_idx=3,smp_act_view_idx=4),3&lt;=smp_act_horizon_n),CHOOSE(smp_act_scn_idx,AG251,BH251,CI251),"")</f>
        <v>30000</v>
      </c>
      <c r="F107" s="62">
        <f>IF(AND(OR(smp_act_view_idx=3,smp_act_view_idx=4),4&lt;=smp_act_horizon_n),CHOOSE(smp_act_scn_idx,AH251,BI251,CJ251),"")</f>
        <v>30000</v>
      </c>
      <c r="G107" s="62">
        <f>IF(AND(OR(smp_act_view_idx=3,smp_act_view_idx=4),5&lt;=smp_act_horizon_n),CHOOSE(smp_act_scn_idx,AI251,BJ251,CK251),"")</f>
        <v>30000</v>
      </c>
      <c r="H107" s="62">
        <f>IF(AND(OR(smp_act_view_idx=3,smp_act_view_idx=4),6&lt;=smp_act_horizon_n),CHOOSE(smp_act_scn_idx,AJ251,BK251,CL251),"")</f>
        <v>30000</v>
      </c>
      <c r="I107" s="62">
        <f>IF(AND(OR(smp_act_view_idx=3,smp_act_view_idx=4),7&lt;=smp_act_horizon_n),CHOOSE(smp_act_scn_idx,AK251,BL251,CM251),"")</f>
        <v>30000</v>
      </c>
      <c r="J107" s="62">
        <f>IF(AND(OR(smp_act_view_idx=3,smp_act_view_idx=4),8&lt;=smp_act_horizon_n),CHOOSE(smp_act_scn_idx,AL251,BM251,CN251),"")</f>
        <v>30000</v>
      </c>
      <c r="K107" s="62">
        <f>IF(AND(OR(smp_act_view_idx=3,smp_act_view_idx=4),9&lt;=smp_act_horizon_n),CHOOSE(smp_act_scn_idx,AM251,BN251,CO251),"")</f>
        <v>30000</v>
      </c>
      <c r="L107" s="62">
        <f>IF(AND(OR(smp_act_view_idx=3,smp_act_view_idx=4),10&lt;=smp_act_horizon_n),CHOOSE(smp_act_scn_idx,AN251,BO251,CP251),"")</f>
        <v>30000</v>
      </c>
      <c r="M107" s="62">
        <f>IF(AND(OR(smp_act_view_idx=3,smp_act_view_idx=4),11&lt;=smp_act_horizon_n),CHOOSE(smp_act_scn_idx,AO251,BP251,CQ251),"")</f>
        <v>30000</v>
      </c>
      <c r="N107" s="62">
        <f>IF(AND(OR(smp_act_view_idx=3,smp_act_view_idx=4),12&lt;=smp_act_horizon_n),CHOOSE(smp_act_scn_idx,AP251,BQ251,CR251),"")</f>
        <v>30000</v>
      </c>
      <c r="O107" s="62">
        <f>IF(AND(OR(smp_act_view_idx=3,smp_act_view_idx=4),13&lt;=smp_act_horizon_n),CHOOSE(smp_act_scn_idx,AQ251,BR251,CS251),"")</f>
        <v>30000</v>
      </c>
      <c r="P107" s="62">
        <f>IF(AND(OR(smp_act_view_idx=3,smp_act_view_idx=4),14&lt;=smp_act_horizon_n),CHOOSE(smp_act_scn_idx,AR251,BS251,CT251),"")</f>
        <v>30000</v>
      </c>
      <c r="Q107" s="62">
        <f>IF(AND(OR(smp_act_view_idx=3,smp_act_view_idx=4),15&lt;=smp_act_horizon_n),CHOOSE(smp_act_scn_idx,AS251,BT251,CU251),"")</f>
        <v>30000</v>
      </c>
      <c r="R107" s="62">
        <f>IF(AND(OR(smp_act_view_idx=3,smp_act_view_idx=4),16&lt;=smp_act_horizon_n),CHOOSE(smp_act_scn_idx,AT251,BU251,CV251),"")</f>
        <v>30000</v>
      </c>
      <c r="S107" s="62">
        <f>IF(AND(OR(smp_act_view_idx=3,smp_act_view_idx=4),17&lt;=smp_act_horizon_n),CHOOSE(smp_act_scn_idx,AU251,BV251,CW251),"")</f>
        <v>30000</v>
      </c>
      <c r="T107" s="62">
        <f>IF(AND(OR(smp_act_view_idx=3,smp_act_view_idx=4),18&lt;=smp_act_horizon_n),CHOOSE(smp_act_scn_idx,AV251,BW251,CX251),"")</f>
        <v>30000</v>
      </c>
      <c r="U107" s="62">
        <f>IF(AND(OR(smp_act_view_idx=3,smp_act_view_idx=4),19&lt;=smp_act_horizon_n),CHOOSE(smp_act_scn_idx,AW251,BX251,CY251),"")</f>
        <v>30000</v>
      </c>
      <c r="V107" s="62">
        <f>IF(AND(OR(smp_act_view_idx=3,smp_act_view_idx=4),20&lt;=smp_act_horizon_n),CHOOSE(smp_act_scn_idx,AX251,BY251,CZ251),"")</f>
        <v>30000</v>
      </c>
      <c r="W107" s="62">
        <f>IF(AND(OR(smp_act_view_idx=3,smp_act_view_idx=4),21&lt;=smp_act_horizon_n),CHOOSE(smp_act_scn_idx,AY251,BZ251,DA251),"")</f>
        <v>30000</v>
      </c>
      <c r="X107" s="62">
        <f>IF(AND(OR(smp_act_view_idx=3,smp_act_view_idx=4),22&lt;=smp_act_horizon_n),CHOOSE(smp_act_scn_idx,AZ251,CA251,DB251),"")</f>
        <v>30000</v>
      </c>
      <c r="Y107" s="62">
        <f>IF(AND(OR(smp_act_view_idx=3,smp_act_view_idx=4),23&lt;=smp_act_horizon_n),CHOOSE(smp_act_scn_idx,BA251,CB251,DC251),"")</f>
        <v>30000</v>
      </c>
      <c r="Z107" s="62">
        <f>IF(AND(OR(smp_act_view_idx=3,smp_act_view_idx=4),24&lt;=smp_act_horizon_n),CHOOSE(smp_act_scn_idx,BB251,CC251,DD251),"")</f>
        <v>30000</v>
      </c>
      <c r="AA107" s="1"/>
      <c r="AB107" s="63">
        <f>IF(OR(smp_act_view_idx=3,smp_act_view_idx=4),CHOOSE(smp_act_scn_idx,BC251,CD251,DE251),"")</f>
        <v>30000</v>
      </c>
      <c r="AC107" s="63">
        <f>IF(AND(OR(smp_act_view_idx=3,smp_act_view_idx=4),smp_act_horizon_n&gt;=24),CHOOSE(smp_act_scn_idx,BD251,CE251,DF251),"")</f>
        <v>30000</v>
      </c>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c r="DH107"/>
    </row>
    <row r="108" spans="1:112" ht="20" customHeight="1" x14ac:dyDescent="0.2">
      <c r="A108" s="1"/>
      <c r="B108" s="64" t="str">
        <f>IF(OR(smp_act_view_idx=3,smp_act_view_idx=4),"Total current assets","")</f>
        <v>Total current assets</v>
      </c>
      <c r="C108" s="65">
        <f>IF(AND(OR(smp_act_view_idx=3,smp_act_view_idx=4),1&lt;=smp_act_horizon_n),CHOOSE(smp_act_scn_idx,AE252,BF252,CG252),"")</f>
        <v>1193927.2033333334</v>
      </c>
      <c r="D108" s="65">
        <f>IF(AND(OR(smp_act_view_idx=3,smp_act_view_idx=4),2&lt;=smp_act_horizon_n),CHOOSE(smp_act_scn_idx,AF252,BG252,CH252),"")</f>
        <v>1245577.6820833334</v>
      </c>
      <c r="E108" s="65">
        <f>IF(AND(OR(smp_act_view_idx=3,smp_act_view_idx=4),3&lt;=smp_act_horizon_n),CHOOSE(smp_act_scn_idx,AG252,BH252,CI252),"")</f>
        <v>1274333.7702500001</v>
      </c>
      <c r="F108" s="65">
        <f>IF(AND(OR(smp_act_view_idx=3,smp_act_view_idx=4),4&lt;=smp_act_horizon_n),CHOOSE(smp_act_scn_idx,AH252,BI252,CJ252),"")</f>
        <v>1283223.5429895835</v>
      </c>
      <c r="G108" s="65">
        <f>IF(AND(OR(smp_act_view_idx=3,smp_act_view_idx=4),5&lt;=smp_act_horizon_n),CHOOSE(smp_act_scn_idx,AI252,BJ252,CK252),"")</f>
        <v>1366860.2819895835</v>
      </c>
      <c r="H108" s="65">
        <f>IF(AND(OR(smp_act_view_idx=3,smp_act_view_idx=4),6&lt;=smp_act_horizon_n),CHOOSE(smp_act_scn_idx,AJ252,BK252,CL252),"")</f>
        <v>1439325.3984062502</v>
      </c>
      <c r="I108" s="65">
        <f>IF(AND(OR(smp_act_view_idx=3,smp_act_view_idx=4),7&lt;=smp_act_horizon_n),CHOOSE(smp_act_scn_idx,AK252,BL252,CM252),"")</f>
        <v>1508323.9962395835</v>
      </c>
      <c r="J108" s="65">
        <f>IF(AND(OR(smp_act_view_idx=3,smp_act_view_idx=4),8&lt;=smp_act_horizon_n),CHOOSE(smp_act_scn_idx,AL252,BM252,CN252),"")</f>
        <v>1515281.6166458335</v>
      </c>
      <c r="K108" s="65">
        <f>IF(AND(OR(smp_act_view_idx=3,smp_act_view_idx=4),9&lt;=smp_act_horizon_n),CHOOSE(smp_act_scn_idx,AM252,BN252,CO252),"")</f>
        <v>1604911.0213125004</v>
      </c>
      <c r="L108" s="65">
        <f>IF(AND(OR(smp_act_view_idx=3,smp_act_view_idx=4),10&lt;=smp_act_horizon_n),CHOOSE(smp_act_scn_idx,AN252,BO252,CP252),"")</f>
        <v>1638884.5745520836</v>
      </c>
      <c r="M108" s="65">
        <f>IF(AND(OR(smp_act_view_idx=3,smp_act_view_idx=4),11&lt;=smp_act_horizon_n),CHOOSE(smp_act_scn_idx,AO252,BP252,CQ252),"")</f>
        <v>1723766.7320520836</v>
      </c>
      <c r="N108" s="65">
        <f>IF(AND(OR(smp_act_view_idx=3,smp_act_view_idx=4),12&lt;=smp_act_horizon_n),CHOOSE(smp_act_scn_idx,AP252,BQ252,CR252),"")</f>
        <v>1795707.2029687501</v>
      </c>
      <c r="O108" s="65">
        <f>IF(AND(OR(smp_act_view_idx=3,smp_act_view_idx=4),13&lt;=smp_act_horizon_n),CHOOSE(smp_act_scn_idx,AQ252,BR252,CS252),"")</f>
        <v>1898930.6693020836</v>
      </c>
      <c r="P108" s="65">
        <f>IF(AND(OR(smp_act_view_idx=3,smp_act_view_idx=4),14&lt;=smp_act_horizon_n),CHOOSE(smp_act_scn_idx,AR252,BS252,CT252),"")</f>
        <v>2016263.5050520836</v>
      </c>
      <c r="Q108" s="65">
        <f>IF(AND(OR(smp_act_view_idx=3,smp_act_view_idx=4),15&lt;=smp_act_horizon_n),CHOOSE(smp_act_scn_idx,AS252,BT252,CU252),"")</f>
        <v>2142738.2862187503</v>
      </c>
      <c r="R108" s="65">
        <f>IF(AND(OR(smp_act_view_idx=3,smp_act_view_idx=4),16&lt;=smp_act_horizon_n),CHOOSE(smp_act_scn_idx,AT252,BU252,CV252),"")</f>
        <v>2144736.3314583339</v>
      </c>
      <c r="S108" s="65">
        <f>IF(AND(OR(smp_act_view_idx=3,smp_act_view_idx=4),17&lt;=smp_act_horizon_n),CHOOSE(smp_act_scn_idx,AU252,BV252,CW252),"")</f>
        <v>2287831.2094583339</v>
      </c>
      <c r="T108" s="65">
        <f>IF(AND(OR(smp_act_view_idx=3,smp_act_view_idx=4),18&lt;=smp_act_horizon_n),CHOOSE(smp_act_scn_idx,AV252,BW252,CX252),"")</f>
        <v>2425818.8968750006</v>
      </c>
      <c r="U108" s="65">
        <f>IF(AND(OR(smp_act_view_idx=3,smp_act_view_idx=4),19&lt;=smp_act_horizon_n),CHOOSE(smp_act_scn_idx,AW252,BX252,CY252),"")</f>
        <v>2558467.5797083341</v>
      </c>
      <c r="V108" s="65">
        <f>IF(AND(OR(smp_act_view_idx=3,smp_act_view_idx=4),20&lt;=smp_act_horizon_n),CHOOSE(smp_act_scn_idx,AX252,BY252,CZ252),"")</f>
        <v>2584598.9766145837</v>
      </c>
      <c r="W108" s="65">
        <f>IF(AND(OR(smp_act_view_idx=3,smp_act_view_idx=4),21&lt;=smp_act_horizon_n),CHOOSE(smp_act_scn_idx,AY252,BZ252,DA252),"")</f>
        <v>2732253.4182812506</v>
      </c>
      <c r="X108" s="65">
        <f>IF(AND(OR(smp_act_view_idx=3,smp_act_view_idx=4),22&lt;=smp_act_horizon_n),CHOOSE(smp_act_scn_idx,AZ252,CA252,DB252),"")</f>
        <v>2775370.5080208341</v>
      </c>
      <c r="Y108" s="65">
        <f>IF(AND(OR(smp_act_view_idx=3,smp_act_view_idx=4),23&lt;=smp_act_horizon_n),CHOOSE(smp_act_scn_idx,BA252,CB252,DC252),"")</f>
        <v>2930183.5505208336</v>
      </c>
      <c r="Z108" s="65">
        <f>IF(AND(OR(smp_act_view_idx=3,smp_act_view_idx=4),24&lt;=smp_act_horizon_n),CHOOSE(smp_act_scn_idx,BB252,CC252,DD252),"")</f>
        <v>3043615.2184375003</v>
      </c>
      <c r="AA108" s="1"/>
      <c r="AB108" s="65">
        <f>IF(OR(smp_act_view_idx=3,smp_act_view_idx=4),CHOOSE(smp_act_scn_idx,BC252,CD252,DE252),"")</f>
        <v>1795707.2029687501</v>
      </c>
      <c r="AC108" s="65">
        <f>IF(AND(OR(smp_act_view_idx=3,smp_act_view_idx=4),smp_act_horizon_n&gt;=24),CHOOSE(smp_act_scn_idx,BD252,CE252,DF252),"")</f>
        <v>3043615.2184375003</v>
      </c>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c r="CY108" s="2"/>
      <c r="CZ108" s="2"/>
      <c r="DA108" s="2"/>
      <c r="DB108" s="2"/>
      <c r="DC108" s="2"/>
      <c r="DD108" s="2"/>
      <c r="DE108" s="2"/>
      <c r="DF108" s="2"/>
      <c r="DG108"/>
      <c r="DH108"/>
    </row>
    <row r="109" spans="1:112" ht="20" customHeight="1" x14ac:dyDescent="0.2">
      <c r="A109" s="1"/>
      <c r="B109" s="22" t="str">
        <f>IF(OR(smp_act_view_idx=3,smp_act_view_idx=4),"   Fixed assets, net (PP&amp;E − accum. D&amp;A)","")</f>
        <v xml:space="preserve">   Fixed assets, net (PP&amp;E − accum. D&amp;A)</v>
      </c>
      <c r="C109" s="62">
        <f>IF(AND(OR(smp_act_view_idx=3,smp_act_view_idx=4),1&lt;=smp_act_horizon_n),CHOOSE(smp_act_scn_idx,AE255,BF255,CG255),"")</f>
        <v>177000</v>
      </c>
      <c r="D109" s="62">
        <f>IF(AND(OR(smp_act_view_idx=3,smp_act_view_idx=4),2&lt;=smp_act_horizon_n),CHOOSE(smp_act_scn_idx,AF255,BG255,CH255),"")</f>
        <v>174000</v>
      </c>
      <c r="E109" s="62">
        <f>IF(AND(OR(smp_act_view_idx=3,smp_act_view_idx=4),3&lt;=smp_act_horizon_n),CHOOSE(smp_act_scn_idx,AG255,BH255,CI255),"")</f>
        <v>206000</v>
      </c>
      <c r="F109" s="62">
        <f>IF(AND(OR(smp_act_view_idx=3,smp_act_view_idx=4),4&lt;=smp_act_horizon_n),CHOOSE(smp_act_scn_idx,AH255,BI255,CJ255),"")</f>
        <v>203000</v>
      </c>
      <c r="G109" s="62">
        <f>IF(AND(OR(smp_act_view_idx=3,smp_act_view_idx=4),5&lt;=smp_act_horizon_n),CHOOSE(smp_act_scn_idx,AI255,BJ255,CK255),"")</f>
        <v>200000</v>
      </c>
      <c r="H109" s="62">
        <f>IF(AND(OR(smp_act_view_idx=3,smp_act_view_idx=4),6&lt;=smp_act_horizon_n),CHOOSE(smp_act_scn_idx,AJ255,BK255,CL255),"")</f>
        <v>197000</v>
      </c>
      <c r="I109" s="62">
        <f>IF(AND(OR(smp_act_view_idx=3,smp_act_view_idx=4),7&lt;=smp_act_horizon_n),CHOOSE(smp_act_scn_idx,AK255,BL255,CM255),"")</f>
        <v>194000</v>
      </c>
      <c r="J109" s="62">
        <f>IF(AND(OR(smp_act_view_idx=3,smp_act_view_idx=4),8&lt;=smp_act_horizon_n),CHOOSE(smp_act_scn_idx,AL255,BM255,CN255),"")</f>
        <v>191000</v>
      </c>
      <c r="K109" s="62">
        <f>IF(AND(OR(smp_act_view_idx=3,smp_act_view_idx=4),9&lt;=smp_act_horizon_n),CHOOSE(smp_act_scn_idx,AM255,BN255,CO255),"")</f>
        <v>188000</v>
      </c>
      <c r="L109" s="62">
        <f>IF(AND(OR(smp_act_view_idx=3,smp_act_view_idx=4),10&lt;=smp_act_horizon_n),CHOOSE(smp_act_scn_idx,AN255,BO255,CP255),"")</f>
        <v>185000</v>
      </c>
      <c r="M109" s="62">
        <f>IF(AND(OR(smp_act_view_idx=3,smp_act_view_idx=4),11&lt;=smp_act_horizon_n),CHOOSE(smp_act_scn_idx,AO255,BP255,CQ255),"")</f>
        <v>202000</v>
      </c>
      <c r="N109" s="62">
        <f>IF(AND(OR(smp_act_view_idx=3,smp_act_view_idx=4),12&lt;=smp_act_horizon_n),CHOOSE(smp_act_scn_idx,AP255,BQ255,CR255),"")</f>
        <v>199000</v>
      </c>
      <c r="O109" s="62">
        <f>IF(AND(OR(smp_act_view_idx=3,smp_act_view_idx=4),13&lt;=smp_act_horizon_n),CHOOSE(smp_act_scn_idx,AQ255,BR255,CS255),"")</f>
        <v>196000</v>
      </c>
      <c r="P109" s="62">
        <f>IF(AND(OR(smp_act_view_idx=3,smp_act_view_idx=4),14&lt;=smp_act_horizon_n),CHOOSE(smp_act_scn_idx,AR255,BS255,CT255),"")</f>
        <v>193000</v>
      </c>
      <c r="Q109" s="62">
        <f>IF(AND(OR(smp_act_view_idx=3,smp_act_view_idx=4),15&lt;=smp_act_horizon_n),CHOOSE(smp_act_scn_idx,AS255,BT255,CU255),"")</f>
        <v>190000</v>
      </c>
      <c r="R109" s="62">
        <f>IF(AND(OR(smp_act_view_idx=3,smp_act_view_idx=4),16&lt;=smp_act_horizon_n),CHOOSE(smp_act_scn_idx,AT255,BU255,CV255),"")</f>
        <v>212000</v>
      </c>
      <c r="S109" s="62">
        <f>IF(AND(OR(smp_act_view_idx=3,smp_act_view_idx=4),17&lt;=smp_act_horizon_n),CHOOSE(smp_act_scn_idx,AU255,BV255,CW255),"")</f>
        <v>209000</v>
      </c>
      <c r="T109" s="62">
        <f>IF(AND(OR(smp_act_view_idx=3,smp_act_view_idx=4),18&lt;=smp_act_horizon_n),CHOOSE(smp_act_scn_idx,AV255,BW255,CX255),"")</f>
        <v>206000</v>
      </c>
      <c r="U109" s="62">
        <f>IF(AND(OR(smp_act_view_idx=3,smp_act_view_idx=4),19&lt;=smp_act_horizon_n),CHOOSE(smp_act_scn_idx,AW255,BX255,CY255),"")</f>
        <v>203000</v>
      </c>
      <c r="V109" s="62">
        <f>IF(AND(OR(smp_act_view_idx=3,smp_act_view_idx=4),20&lt;=smp_act_horizon_n),CHOOSE(smp_act_scn_idx,AX255,BY255,CZ255),"")</f>
        <v>200000</v>
      </c>
      <c r="W109" s="62">
        <f>IF(AND(OR(smp_act_view_idx=3,smp_act_view_idx=4),21&lt;=smp_act_horizon_n),CHOOSE(smp_act_scn_idx,AY255,BZ255,DA255),"")</f>
        <v>197000</v>
      </c>
      <c r="X109" s="62">
        <f>IF(AND(OR(smp_act_view_idx=3,smp_act_view_idx=4),22&lt;=smp_act_horizon_n),CHOOSE(smp_act_scn_idx,AZ255,CA255,DB255),"")</f>
        <v>194000</v>
      </c>
      <c r="Y109" s="62">
        <f>IF(AND(OR(smp_act_view_idx=3,smp_act_view_idx=4),23&lt;=smp_act_horizon_n),CHOOSE(smp_act_scn_idx,BA255,CB255,DC255),"")</f>
        <v>191000</v>
      </c>
      <c r="Z109" s="62">
        <f>IF(AND(OR(smp_act_view_idx=3,smp_act_view_idx=4),24&lt;=smp_act_horizon_n),CHOOSE(smp_act_scn_idx,BB255,CC255,DD255),"")</f>
        <v>188000</v>
      </c>
      <c r="AA109" s="1"/>
      <c r="AB109" s="63">
        <f>IF(OR(smp_act_view_idx=3,smp_act_view_idx=4),CHOOSE(smp_act_scn_idx,BC255,CD255,DE255),"")</f>
        <v>199000</v>
      </c>
      <c r="AC109" s="63">
        <f>IF(AND(OR(smp_act_view_idx=3,smp_act_view_idx=4),smp_act_horizon_n&gt;=24),CHOOSE(smp_act_scn_idx,BD255,CE255,DF255),"")</f>
        <v>188000</v>
      </c>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c r="DH109"/>
    </row>
    <row r="110" spans="1:112" ht="20" customHeight="1" x14ac:dyDescent="0.2">
      <c r="A110" s="1"/>
      <c r="B110" s="66" t="str">
        <f>IF(OR(smp_act_view_idx=3,smp_act_view_idx=4),"TOTAL ASSETS","")</f>
        <v>TOTAL ASSETS</v>
      </c>
      <c r="C110" s="67">
        <f>IF(AND(OR(smp_act_view_idx=3,smp_act_view_idx=4),1&lt;=smp_act_horizon_n),CHOOSE(smp_act_scn_idx,AE256,BF256,CG256),"")</f>
        <v>1370927.2033333334</v>
      </c>
      <c r="D110" s="67">
        <f>IF(AND(OR(smp_act_view_idx=3,smp_act_view_idx=4),2&lt;=smp_act_horizon_n),CHOOSE(smp_act_scn_idx,AF256,BG256,CH256),"")</f>
        <v>1419577.6820833334</v>
      </c>
      <c r="E110" s="67">
        <f>IF(AND(OR(smp_act_view_idx=3,smp_act_view_idx=4),3&lt;=smp_act_horizon_n),CHOOSE(smp_act_scn_idx,AG256,BH256,CI256),"")</f>
        <v>1480333.7702500001</v>
      </c>
      <c r="F110" s="67">
        <f>IF(AND(OR(smp_act_view_idx=3,smp_act_view_idx=4),4&lt;=smp_act_horizon_n),CHOOSE(smp_act_scn_idx,AH256,BI256,CJ256),"")</f>
        <v>1486223.5429895835</v>
      </c>
      <c r="G110" s="67">
        <f>IF(AND(OR(smp_act_view_idx=3,smp_act_view_idx=4),5&lt;=smp_act_horizon_n),CHOOSE(smp_act_scn_idx,AI256,BJ256,CK256),"")</f>
        <v>1566860.2819895835</v>
      </c>
      <c r="H110" s="67">
        <f>IF(AND(OR(smp_act_view_idx=3,smp_act_view_idx=4),6&lt;=smp_act_horizon_n),CHOOSE(smp_act_scn_idx,AJ256,BK256,CL256),"")</f>
        <v>1636325.3984062502</v>
      </c>
      <c r="I110" s="67">
        <f>IF(AND(OR(smp_act_view_idx=3,smp_act_view_idx=4),7&lt;=smp_act_horizon_n),CHOOSE(smp_act_scn_idx,AK256,BL256,CM256),"")</f>
        <v>1702323.9962395835</v>
      </c>
      <c r="J110" s="67">
        <f>IF(AND(OR(smp_act_view_idx=3,smp_act_view_idx=4),8&lt;=smp_act_horizon_n),CHOOSE(smp_act_scn_idx,AL256,BM256,CN256),"")</f>
        <v>1706281.6166458335</v>
      </c>
      <c r="K110" s="67">
        <f>IF(AND(OR(smp_act_view_idx=3,smp_act_view_idx=4),9&lt;=smp_act_horizon_n),CHOOSE(smp_act_scn_idx,AM256,BN256,CO256),"")</f>
        <v>1792911.0213125004</v>
      </c>
      <c r="L110" s="67">
        <f>IF(AND(OR(smp_act_view_idx=3,smp_act_view_idx=4),10&lt;=smp_act_horizon_n),CHOOSE(smp_act_scn_idx,AN256,BO256,CP256),"")</f>
        <v>1823884.5745520836</v>
      </c>
      <c r="M110" s="67">
        <f>IF(AND(OR(smp_act_view_idx=3,smp_act_view_idx=4),11&lt;=smp_act_horizon_n),CHOOSE(smp_act_scn_idx,AO256,BP256,CQ256),"")</f>
        <v>1925766.7320520836</v>
      </c>
      <c r="N110" s="67">
        <f>IF(AND(OR(smp_act_view_idx=3,smp_act_view_idx=4),12&lt;=smp_act_horizon_n),CHOOSE(smp_act_scn_idx,AP256,BQ256,CR256),"")</f>
        <v>1994707.2029687501</v>
      </c>
      <c r="O110" s="67">
        <f>IF(AND(OR(smp_act_view_idx=3,smp_act_view_idx=4),13&lt;=smp_act_horizon_n),CHOOSE(smp_act_scn_idx,AQ256,BR256,CS256),"")</f>
        <v>2094930.6693020836</v>
      </c>
      <c r="P110" s="67">
        <f>IF(AND(OR(smp_act_view_idx=3,smp_act_view_idx=4),14&lt;=smp_act_horizon_n),CHOOSE(smp_act_scn_idx,AR256,BS256,CT256),"")</f>
        <v>2209263.5050520836</v>
      </c>
      <c r="Q110" s="67">
        <f>IF(AND(OR(smp_act_view_idx=3,smp_act_view_idx=4),15&lt;=smp_act_horizon_n),CHOOSE(smp_act_scn_idx,AS256,BT256,CU256),"")</f>
        <v>2332738.2862187503</v>
      </c>
      <c r="R110" s="67">
        <f>IF(AND(OR(smp_act_view_idx=3,smp_act_view_idx=4),16&lt;=smp_act_horizon_n),CHOOSE(smp_act_scn_idx,AT256,BU256,CV256),"")</f>
        <v>2356736.3314583339</v>
      </c>
      <c r="S110" s="67">
        <f>IF(AND(OR(smp_act_view_idx=3,smp_act_view_idx=4),17&lt;=smp_act_horizon_n),CHOOSE(smp_act_scn_idx,AU256,BV256,CW256),"")</f>
        <v>2496831.2094583339</v>
      </c>
      <c r="T110" s="67">
        <f>IF(AND(OR(smp_act_view_idx=3,smp_act_view_idx=4),18&lt;=smp_act_horizon_n),CHOOSE(smp_act_scn_idx,AV256,BW256,CX256),"")</f>
        <v>2631818.8968750006</v>
      </c>
      <c r="U110" s="67">
        <f>IF(AND(OR(smp_act_view_idx=3,smp_act_view_idx=4),19&lt;=smp_act_horizon_n),CHOOSE(smp_act_scn_idx,AW256,BX256,CY256),"")</f>
        <v>2761467.5797083341</v>
      </c>
      <c r="V110" s="67">
        <f>IF(AND(OR(smp_act_view_idx=3,smp_act_view_idx=4),20&lt;=smp_act_horizon_n),CHOOSE(smp_act_scn_idx,AX256,BY256,CZ256),"")</f>
        <v>2784598.9766145837</v>
      </c>
      <c r="W110" s="67">
        <f>IF(AND(OR(smp_act_view_idx=3,smp_act_view_idx=4),21&lt;=smp_act_horizon_n),CHOOSE(smp_act_scn_idx,AY256,BZ256,DA256),"")</f>
        <v>2929253.4182812506</v>
      </c>
      <c r="X110" s="67">
        <f>IF(AND(OR(smp_act_view_idx=3,smp_act_view_idx=4),22&lt;=smp_act_horizon_n),CHOOSE(smp_act_scn_idx,AZ256,CA256,DB256),"")</f>
        <v>2969370.5080208341</v>
      </c>
      <c r="Y110" s="67">
        <f>IF(AND(OR(smp_act_view_idx=3,smp_act_view_idx=4),23&lt;=smp_act_horizon_n),CHOOSE(smp_act_scn_idx,BA256,CB256,DC256),"")</f>
        <v>3121183.5505208336</v>
      </c>
      <c r="Z110" s="67">
        <f>IF(AND(OR(smp_act_view_idx=3,smp_act_view_idx=4),24&lt;=smp_act_horizon_n),CHOOSE(smp_act_scn_idx,BB256,CC256,DD256),"")</f>
        <v>3231615.2184375003</v>
      </c>
      <c r="AA110" s="1"/>
      <c r="AB110" s="67">
        <f>IF(OR(smp_act_view_idx=3,smp_act_view_idx=4),CHOOSE(smp_act_scn_idx,BC256,CD256,DE256),"")</f>
        <v>1994707.2029687501</v>
      </c>
      <c r="AC110" s="67">
        <f>IF(AND(OR(smp_act_view_idx=3,smp_act_view_idx=4),smp_act_horizon_n&gt;=24),CHOOSE(smp_act_scn_idx,BD256,CE256,DF256),"")</f>
        <v>3231615.2184375003</v>
      </c>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c r="DH110"/>
    </row>
    <row r="111" spans="1:112" ht="20" customHeight="1" x14ac:dyDescent="0.2">
      <c r="A111" s="1"/>
      <c r="B111" s="61" t="str">
        <f>IF(OR(smp_act_view_idx=3,smp_act_view_idx=4),"LIABILITIES","")</f>
        <v>LIABILITIES</v>
      </c>
      <c r="C111" s="2"/>
      <c r="D111" s="2"/>
      <c r="E111" s="2"/>
      <c r="F111" s="2"/>
      <c r="G111" s="2"/>
      <c r="H111" s="2"/>
      <c r="I111" s="2"/>
      <c r="J111" s="2"/>
      <c r="K111" s="2"/>
      <c r="L111" s="2"/>
      <c r="M111" s="2"/>
      <c r="N111" s="2"/>
      <c r="O111" s="2"/>
      <c r="P111" s="2"/>
      <c r="Q111" s="2"/>
      <c r="R111" s="2"/>
      <c r="S111" s="2"/>
      <c r="T111" s="2"/>
      <c r="U111" s="2"/>
      <c r="V111" s="2"/>
      <c r="W111" s="2"/>
      <c r="X111" s="2"/>
      <c r="Y111" s="2"/>
      <c r="Z111" s="2"/>
      <c r="AA111" s="1"/>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c r="DH111"/>
    </row>
    <row r="112" spans="1:112" ht="20" customHeight="1" x14ac:dyDescent="0.2">
      <c r="A112" s="1"/>
      <c r="B112" s="22" t="str">
        <f>IF(OR(smp_act_view_idx=3,smp_act_view_idx=4),"   Accounts payable","")</f>
        <v xml:space="preserve">   Accounts payable</v>
      </c>
      <c r="C112" s="62">
        <f t="shared" ref="C112:C117" si="53">IF(AND(OR(smp_act_view_idx=3,smp_act_view_idx=4),1&lt;=smp_act_horizon_n),CHOOSE(smp_act_scn_idx,AE257,BF257,CG257),"")</f>
        <v>183178.17</v>
      </c>
      <c r="D112" s="62">
        <f t="shared" ref="D112:D117" si="54">IF(AND(OR(smp_act_view_idx=3,smp_act_view_idx=4),2&lt;=smp_act_horizon_n),CHOOSE(smp_act_scn_idx,AF257,BG257,CH257),"")</f>
        <v>189096.39</v>
      </c>
      <c r="E112" s="62">
        <f t="shared" ref="E112:E117" si="55">IF(AND(OR(smp_act_view_idx=3,smp_act_view_idx=4),3&lt;=smp_act_horizon_n),CHOOSE(smp_act_scn_idx,AG257,BH257,CI257),"")</f>
        <v>195713.15400000004</v>
      </c>
      <c r="F112" s="62">
        <f t="shared" ref="F112:F117" si="56">IF(AND(OR(smp_act_view_idx=3,smp_act_view_idx=4),4&lt;=smp_act_horizon_n),CHOOSE(smp_act_scn_idx,AH257,BI257,CJ257),"")</f>
        <v>202058.26200000002</v>
      </c>
      <c r="G112" s="62">
        <f t="shared" ref="G112:G117" si="57">IF(AND(OR(smp_act_view_idx=3,smp_act_view_idx=4),5&lt;=smp_act_horizon_n),CHOOSE(smp_act_scn_idx,AI257,BJ257,CK257),"")</f>
        <v>208092.90600000002</v>
      </c>
      <c r="H112" s="62">
        <f t="shared" ref="H112:H117" si="58">IF(AND(OR(smp_act_view_idx=3,smp_act_view_idx=4),6&lt;=smp_act_horizon_n),CHOOSE(smp_act_scn_idx,AJ257,BK257,CL257),"")</f>
        <v>205356.94200000001</v>
      </c>
      <c r="I112" s="62">
        <f t="shared" ref="I112:I117" si="59">IF(AND(OR(smp_act_view_idx=3,smp_act_view_idx=4),7&lt;=smp_act_horizon_n),CHOOSE(smp_act_scn_idx,AK257,BL257,CM257),"")</f>
        <v>202310.514</v>
      </c>
      <c r="J112" s="62">
        <f t="shared" ref="J112:J117" si="60">IF(AND(OR(smp_act_view_idx=3,smp_act_view_idx=4),8&lt;=smp_act_horizon_n),CHOOSE(smp_act_scn_idx,AL257,BM257,CN257),"")</f>
        <v>201796.30800000002</v>
      </c>
      <c r="K112" s="62">
        <f t="shared" ref="K112:K117" si="61">IF(AND(OR(smp_act_view_idx=3,smp_act_view_idx=4),9&lt;=smp_act_horizon_n),CHOOSE(smp_act_scn_idx,AM257,BN257,CO257),"")</f>
        <v>208141.41600000003</v>
      </c>
      <c r="L112" s="62">
        <f t="shared" ref="L112:L117" si="62">IF(AND(OR(smp_act_view_idx=3,smp_act_view_idx=4),10&lt;=smp_act_horizon_n),CHOOSE(smp_act_scn_idx,AN257,BO257,CP257),"")</f>
        <v>214137.25200000001</v>
      </c>
      <c r="M112" s="62">
        <f t="shared" ref="M112:M117" si="63">IF(AND(OR(smp_act_view_idx=3,smp_act_view_idx=4),11&lt;=smp_act_horizon_n),CHOOSE(smp_act_scn_idx,AO257,BP257,CQ257),"")</f>
        <v>218260.60200000001</v>
      </c>
      <c r="N112" s="62">
        <f t="shared" ref="N112:N117" si="64">IF(AND(OR(smp_act_view_idx=3,smp_act_view_idx=4),12&lt;=smp_act_horizon_n),CHOOSE(smp_act_scn_idx,AP257,BQ257,CR257),"")</f>
        <v>218056.86000000002</v>
      </c>
      <c r="O112" s="62">
        <f t="shared" ref="O112:O117" si="65">IF(AND(OR(smp_act_view_idx=3,smp_act_view_idx=4),13&lt;=smp_act_horizon_n),CHOOSE(smp_act_scn_idx,AQ257,BR257,CS257),"")</f>
        <v>218774.80800000002</v>
      </c>
      <c r="P112" s="62">
        <f t="shared" ref="P112:P117" si="66">IF(AND(OR(smp_act_view_idx=3,smp_act_view_idx=4),14&lt;=smp_act_horizon_n),CHOOSE(smp_act_scn_idx,AR257,BS257,CT257),"")</f>
        <v>224460.18000000002</v>
      </c>
      <c r="Q112" s="62">
        <f t="shared" ref="Q112:Q117" si="67">IF(AND(OR(smp_act_view_idx=3,smp_act_view_idx=4),15&lt;=smp_act_horizon_n),CHOOSE(smp_act_scn_idx,AS257,BT257,CU257),"")</f>
        <v>230145.55200000003</v>
      </c>
      <c r="R112" s="62">
        <f t="shared" ref="R112:R117" si="68">IF(AND(OR(smp_act_view_idx=3,smp_act_view_idx=4),16&lt;=smp_act_horizon_n),CHOOSE(smp_act_scn_idx,AT257,BU257,CV257),"")</f>
        <v>236490.66000000003</v>
      </c>
      <c r="S112" s="62">
        <f t="shared" ref="S112:S117" si="69">IF(AND(OR(smp_act_view_idx=3,smp_act_view_idx=4),17&lt;=smp_act_horizon_n),CHOOSE(smp_act_scn_idx,AU257,BV257,CW257),"")</f>
        <v>240652.81800000003</v>
      </c>
      <c r="T112" s="62">
        <f t="shared" ref="T112:T117" si="70">IF(AND(OR(smp_act_view_idx=3,smp_act_view_idx=4),18&lt;=smp_act_horizon_n),CHOOSE(smp_act_scn_idx,AV257,BW257,CX257),"")</f>
        <v>239789.34000000003</v>
      </c>
      <c r="U112" s="62">
        <f t="shared" ref="U112:U117" si="71">IF(AND(OR(smp_act_view_idx=3,smp_act_view_idx=4),19&lt;=smp_act_horizon_n),CHOOSE(smp_act_scn_idx,AW257,BX257,CY257),"")</f>
        <v>236742.91200000004</v>
      </c>
      <c r="V112" s="62">
        <f t="shared" ref="V112:V117" si="72">IF(AND(OR(smp_act_view_idx=3,smp_act_view_idx=4),20&lt;=smp_act_horizon_n),CHOOSE(smp_act_scn_idx,AX257,BY257,CZ257),"")</f>
        <v>236539.17000000004</v>
      </c>
      <c r="W112" s="62">
        <f t="shared" ref="W112:W117" si="73">IF(AND(OR(smp_act_view_idx=3,smp_act_view_idx=4),21&lt;=smp_act_horizon_n),CHOOSE(smp_act_scn_idx,AY257,BZ257,DA257),"")</f>
        <v>240905.07000000004</v>
      </c>
      <c r="X112" s="62">
        <f t="shared" ref="X112:X117" si="74">IF(AND(OR(smp_act_view_idx=3,smp_act_view_idx=4),22&lt;=smp_act_horizon_n),CHOOSE(smp_act_scn_idx,AZ257,CA257,DB257),"")</f>
        <v>245270.97000000006</v>
      </c>
      <c r="Y112" s="62">
        <f t="shared" ref="Y112:Y117" si="75">IF(AND(OR(smp_act_view_idx=3,smp_act_view_idx=4),23&lt;=smp_act_horizon_n),CHOOSE(smp_act_scn_idx,BA257,CB257,DC257),"")</f>
        <v>247453.92000000004</v>
      </c>
      <c r="Z112" s="62">
        <f t="shared" ref="Z112:Z117" si="76">IF(AND(OR(smp_act_view_idx=3,smp_act_view_idx=4),24&lt;=smp_act_horizon_n),CHOOSE(smp_act_scn_idx,BB257,CC257,DD257),"")</f>
        <v>245270.97000000006</v>
      </c>
      <c r="AA112" s="1"/>
      <c r="AB112" s="63">
        <f t="shared" ref="AB112:AB117" si="77">IF(OR(smp_act_view_idx=3,smp_act_view_idx=4),CHOOSE(smp_act_scn_idx,BC257,CD257,DE257),"")</f>
        <v>218056.86000000002</v>
      </c>
      <c r="AC112" s="63">
        <f t="shared" ref="AC112:AC117" si="78">IF(AND(OR(smp_act_view_idx=3,smp_act_view_idx=4),smp_act_horizon_n&gt;=24),CHOOSE(smp_act_scn_idx,BD257,CE257,DF257),"")</f>
        <v>245270.97000000006</v>
      </c>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c r="DH112"/>
    </row>
    <row r="113" spans="1:112" ht="20" customHeight="1" x14ac:dyDescent="0.2">
      <c r="A113" s="1"/>
      <c r="B113" s="22" t="str">
        <f>IF(OR(smp_act_view_idx=3,smp_act_view_idx=4),"   Other current liabilities","")</f>
        <v xml:space="preserve">   Other current liabilities</v>
      </c>
      <c r="C113" s="62">
        <f t="shared" si="53"/>
        <v>24000</v>
      </c>
      <c r="D113" s="62">
        <f t="shared" si="54"/>
        <v>24000</v>
      </c>
      <c r="E113" s="62">
        <f t="shared" si="55"/>
        <v>24000</v>
      </c>
      <c r="F113" s="62">
        <f t="shared" si="56"/>
        <v>24000</v>
      </c>
      <c r="G113" s="62">
        <f t="shared" si="57"/>
        <v>24000</v>
      </c>
      <c r="H113" s="62">
        <f t="shared" si="58"/>
        <v>24000</v>
      </c>
      <c r="I113" s="62">
        <f t="shared" si="59"/>
        <v>24000</v>
      </c>
      <c r="J113" s="62">
        <f t="shared" si="60"/>
        <v>24000</v>
      </c>
      <c r="K113" s="62">
        <f t="shared" si="61"/>
        <v>24000</v>
      </c>
      <c r="L113" s="62">
        <f t="shared" si="62"/>
        <v>24000</v>
      </c>
      <c r="M113" s="62">
        <f t="shared" si="63"/>
        <v>24000</v>
      </c>
      <c r="N113" s="62">
        <f t="shared" si="64"/>
        <v>24000</v>
      </c>
      <c r="O113" s="62">
        <f t="shared" si="65"/>
        <v>24000</v>
      </c>
      <c r="P113" s="62">
        <f t="shared" si="66"/>
        <v>24000</v>
      </c>
      <c r="Q113" s="62">
        <f t="shared" si="67"/>
        <v>24000</v>
      </c>
      <c r="R113" s="62">
        <f t="shared" si="68"/>
        <v>24000</v>
      </c>
      <c r="S113" s="62">
        <f t="shared" si="69"/>
        <v>24000</v>
      </c>
      <c r="T113" s="62">
        <f t="shared" si="70"/>
        <v>24000</v>
      </c>
      <c r="U113" s="62">
        <f t="shared" si="71"/>
        <v>24000</v>
      </c>
      <c r="V113" s="62">
        <f t="shared" si="72"/>
        <v>24000</v>
      </c>
      <c r="W113" s="62">
        <f t="shared" si="73"/>
        <v>24000</v>
      </c>
      <c r="X113" s="62">
        <f t="shared" si="74"/>
        <v>24000</v>
      </c>
      <c r="Y113" s="62">
        <f t="shared" si="75"/>
        <v>24000</v>
      </c>
      <c r="Z113" s="62">
        <f t="shared" si="76"/>
        <v>24000</v>
      </c>
      <c r="AA113" s="1"/>
      <c r="AB113" s="63">
        <f t="shared" si="77"/>
        <v>24000</v>
      </c>
      <c r="AC113" s="63">
        <f t="shared" si="78"/>
        <v>24000</v>
      </c>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c r="DH113"/>
    </row>
    <row r="114" spans="1:112" ht="20" customHeight="1" x14ac:dyDescent="0.2">
      <c r="A114" s="1"/>
      <c r="B114" s="22" t="str">
        <f>IF(OR(smp_act_view_idx=3,smp_act_view_idx=4),"   Tax payable","")</f>
        <v xml:space="preserve">   Tax payable</v>
      </c>
      <c r="C114" s="62">
        <f t="shared" si="53"/>
        <v>40270.508333333331</v>
      </c>
      <c r="D114" s="62">
        <f t="shared" si="54"/>
        <v>55036.823020833333</v>
      </c>
      <c r="E114" s="62">
        <f t="shared" si="55"/>
        <v>72654.904062499991</v>
      </c>
      <c r="F114" s="62">
        <f t="shared" si="56"/>
        <v>27721.646614583318</v>
      </c>
      <c r="G114" s="62">
        <f t="shared" si="57"/>
        <v>50455.420364583333</v>
      </c>
      <c r="H114" s="62">
        <f t="shared" si="58"/>
        <v>72588.940468750006</v>
      </c>
      <c r="I114" s="62">
        <f t="shared" si="59"/>
        <v>93933.446927083336</v>
      </c>
      <c r="J114" s="62">
        <f t="shared" si="60"/>
        <v>50231.979895833319</v>
      </c>
      <c r="K114" s="62">
        <f t="shared" si="61"/>
        <v>74386.304062499999</v>
      </c>
      <c r="L114" s="62">
        <f t="shared" si="62"/>
        <v>35811.309739583325</v>
      </c>
      <c r="M114" s="62">
        <f t="shared" si="63"/>
        <v>64334.261614583331</v>
      </c>
      <c r="N114" s="62">
        <f t="shared" si="64"/>
        <v>93203.564843750006</v>
      </c>
      <c r="O114" s="62">
        <f t="shared" si="65"/>
        <v>122163.19442708335</v>
      </c>
      <c r="P114" s="62">
        <f t="shared" si="66"/>
        <v>153408.31036458333</v>
      </c>
      <c r="Q114" s="62">
        <f t="shared" si="67"/>
        <v>186938.91265625</v>
      </c>
      <c r="R114" s="62">
        <f t="shared" si="68"/>
        <v>112376.36395833334</v>
      </c>
      <c r="S114" s="62">
        <f t="shared" si="69"/>
        <v>150442.79395833335</v>
      </c>
      <c r="T114" s="62">
        <f t="shared" si="70"/>
        <v>188488.83531250001</v>
      </c>
      <c r="U114" s="62">
        <f t="shared" si="71"/>
        <v>225745.86302083335</v>
      </c>
      <c r="V114" s="62">
        <f t="shared" si="72"/>
        <v>152603.86473958334</v>
      </c>
      <c r="W114" s="62">
        <f t="shared" si="73"/>
        <v>191759.25015625</v>
      </c>
      <c r="X114" s="62">
        <f t="shared" si="74"/>
        <v>121721.26458333332</v>
      </c>
      <c r="Y114" s="62">
        <f t="shared" si="75"/>
        <v>163212.03770833332</v>
      </c>
      <c r="Z114" s="62">
        <f t="shared" si="76"/>
        <v>203948.94218749998</v>
      </c>
      <c r="AA114" s="1"/>
      <c r="AB114" s="63">
        <f t="shared" si="77"/>
        <v>93203.564843750006</v>
      </c>
      <c r="AC114" s="63">
        <f t="shared" si="78"/>
        <v>203948.94218749998</v>
      </c>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c r="DH114"/>
    </row>
    <row r="115" spans="1:112" ht="20" customHeight="1" x14ac:dyDescent="0.2">
      <c r="A115" s="1"/>
      <c r="B115" s="64" t="str">
        <f>IF(OR(smp_act_view_idx=3,smp_act_view_idx=4),"Total current liabilities","")</f>
        <v>Total current liabilities</v>
      </c>
      <c r="C115" s="65">
        <f t="shared" si="53"/>
        <v>247448.67833333334</v>
      </c>
      <c r="D115" s="65">
        <f t="shared" si="54"/>
        <v>268133.21302083333</v>
      </c>
      <c r="E115" s="65">
        <f t="shared" si="55"/>
        <v>292368.05806250003</v>
      </c>
      <c r="F115" s="65">
        <f t="shared" si="56"/>
        <v>253779.90861458334</v>
      </c>
      <c r="G115" s="65">
        <f t="shared" si="57"/>
        <v>282548.32636458334</v>
      </c>
      <c r="H115" s="65">
        <f t="shared" si="58"/>
        <v>301945.88246875</v>
      </c>
      <c r="I115" s="65">
        <f t="shared" si="59"/>
        <v>320243.96092708333</v>
      </c>
      <c r="J115" s="65">
        <f t="shared" si="60"/>
        <v>276028.28789583332</v>
      </c>
      <c r="K115" s="65">
        <f t="shared" si="61"/>
        <v>306527.72006250004</v>
      </c>
      <c r="L115" s="65">
        <f t="shared" si="62"/>
        <v>273948.56173958333</v>
      </c>
      <c r="M115" s="65">
        <f t="shared" si="63"/>
        <v>306594.86361458333</v>
      </c>
      <c r="N115" s="65">
        <f t="shared" si="64"/>
        <v>335260.42484375002</v>
      </c>
      <c r="O115" s="65">
        <f t="shared" si="65"/>
        <v>364938.00242708338</v>
      </c>
      <c r="P115" s="65">
        <f t="shared" si="66"/>
        <v>401868.49036458333</v>
      </c>
      <c r="Q115" s="65">
        <f t="shared" si="67"/>
        <v>441084.46465625003</v>
      </c>
      <c r="R115" s="65">
        <f t="shared" si="68"/>
        <v>372867.02395833336</v>
      </c>
      <c r="S115" s="65">
        <f t="shared" si="69"/>
        <v>415095.61195833341</v>
      </c>
      <c r="T115" s="65">
        <f t="shared" si="70"/>
        <v>452278.17531250004</v>
      </c>
      <c r="U115" s="65">
        <f t="shared" si="71"/>
        <v>486488.77502083336</v>
      </c>
      <c r="V115" s="65">
        <f t="shared" si="72"/>
        <v>413143.03473958338</v>
      </c>
      <c r="W115" s="65">
        <f t="shared" si="73"/>
        <v>456664.32015625003</v>
      </c>
      <c r="X115" s="65">
        <f t="shared" si="74"/>
        <v>390992.23458333343</v>
      </c>
      <c r="Y115" s="65">
        <f t="shared" si="75"/>
        <v>434665.95770833339</v>
      </c>
      <c r="Z115" s="65">
        <f t="shared" si="76"/>
        <v>473219.91218750004</v>
      </c>
      <c r="AA115" s="1"/>
      <c r="AB115" s="65">
        <f t="shared" si="77"/>
        <v>335260.42484375002</v>
      </c>
      <c r="AC115" s="65">
        <f t="shared" si="78"/>
        <v>473219.91218750004</v>
      </c>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c r="DC115" s="2"/>
      <c r="DD115" s="2"/>
      <c r="DE115" s="2"/>
      <c r="DF115" s="2"/>
      <c r="DG115"/>
      <c r="DH115"/>
    </row>
    <row r="116" spans="1:112" ht="20" customHeight="1" x14ac:dyDescent="0.2">
      <c r="A116" s="1"/>
      <c r="B116" s="22" t="str">
        <f>IF(OR(smp_act_view_idx=3,smp_act_view_idx=4),"   Interest-bearing debt","")</f>
        <v xml:space="preserve">   Interest-bearing debt</v>
      </c>
      <c r="C116" s="62">
        <f t="shared" si="53"/>
        <v>291667</v>
      </c>
      <c r="D116" s="62">
        <f t="shared" si="54"/>
        <v>283334</v>
      </c>
      <c r="E116" s="62">
        <f t="shared" si="55"/>
        <v>275001</v>
      </c>
      <c r="F116" s="62">
        <f t="shared" si="56"/>
        <v>266668</v>
      </c>
      <c r="G116" s="62">
        <f t="shared" si="57"/>
        <v>258335</v>
      </c>
      <c r="H116" s="62">
        <f t="shared" si="58"/>
        <v>250002</v>
      </c>
      <c r="I116" s="62">
        <f t="shared" si="59"/>
        <v>241669</v>
      </c>
      <c r="J116" s="62">
        <f t="shared" si="60"/>
        <v>233336</v>
      </c>
      <c r="K116" s="62">
        <f t="shared" si="61"/>
        <v>225003</v>
      </c>
      <c r="L116" s="62">
        <f t="shared" si="62"/>
        <v>216670</v>
      </c>
      <c r="M116" s="62">
        <f t="shared" si="63"/>
        <v>208337</v>
      </c>
      <c r="N116" s="62">
        <f t="shared" si="64"/>
        <v>200004</v>
      </c>
      <c r="O116" s="62">
        <f t="shared" si="65"/>
        <v>191671</v>
      </c>
      <c r="P116" s="62">
        <f t="shared" si="66"/>
        <v>183338</v>
      </c>
      <c r="Q116" s="62">
        <f t="shared" si="67"/>
        <v>175005</v>
      </c>
      <c r="R116" s="62">
        <f t="shared" si="68"/>
        <v>166672</v>
      </c>
      <c r="S116" s="62">
        <f t="shared" si="69"/>
        <v>158339</v>
      </c>
      <c r="T116" s="62">
        <f t="shared" si="70"/>
        <v>150006</v>
      </c>
      <c r="U116" s="62">
        <f t="shared" si="71"/>
        <v>141673</v>
      </c>
      <c r="V116" s="62">
        <f t="shared" si="72"/>
        <v>133340</v>
      </c>
      <c r="W116" s="62">
        <f t="shared" si="73"/>
        <v>125007</v>
      </c>
      <c r="X116" s="62">
        <f t="shared" si="74"/>
        <v>116674</v>
      </c>
      <c r="Y116" s="62">
        <f t="shared" si="75"/>
        <v>108341</v>
      </c>
      <c r="Z116" s="62">
        <f t="shared" si="76"/>
        <v>100008</v>
      </c>
      <c r="AA116" s="1"/>
      <c r="AB116" s="63">
        <f t="shared" si="77"/>
        <v>200004</v>
      </c>
      <c r="AC116" s="63">
        <f t="shared" si="78"/>
        <v>100008</v>
      </c>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c r="DH116"/>
    </row>
    <row r="117" spans="1:112" ht="20" customHeight="1" x14ac:dyDescent="0.2">
      <c r="A117" s="1"/>
      <c r="B117" s="64" t="str">
        <f>IF(OR(smp_act_view_idx=3,smp_act_view_idx=4),"Total liabilities","")</f>
        <v>Total liabilities</v>
      </c>
      <c r="C117" s="65">
        <f t="shared" si="53"/>
        <v>539115.67833333334</v>
      </c>
      <c r="D117" s="65">
        <f t="shared" si="54"/>
        <v>551467.21302083333</v>
      </c>
      <c r="E117" s="65">
        <f t="shared" si="55"/>
        <v>567369.05806250009</v>
      </c>
      <c r="F117" s="65">
        <f t="shared" si="56"/>
        <v>520447.90861458331</v>
      </c>
      <c r="G117" s="65">
        <f t="shared" si="57"/>
        <v>540883.32636458334</v>
      </c>
      <c r="H117" s="65">
        <f t="shared" si="58"/>
        <v>551947.88246875</v>
      </c>
      <c r="I117" s="65">
        <f t="shared" si="59"/>
        <v>561912.96092708339</v>
      </c>
      <c r="J117" s="65">
        <f t="shared" si="60"/>
        <v>509364.28789583332</v>
      </c>
      <c r="K117" s="65">
        <f t="shared" si="61"/>
        <v>531530.7200625001</v>
      </c>
      <c r="L117" s="65">
        <f t="shared" si="62"/>
        <v>490618.56173958333</v>
      </c>
      <c r="M117" s="65">
        <f t="shared" si="63"/>
        <v>514931.86361458333</v>
      </c>
      <c r="N117" s="65">
        <f t="shared" si="64"/>
        <v>535264.42484374996</v>
      </c>
      <c r="O117" s="65">
        <f t="shared" si="65"/>
        <v>556609.00242708344</v>
      </c>
      <c r="P117" s="65">
        <f t="shared" si="66"/>
        <v>585206.49036458333</v>
      </c>
      <c r="Q117" s="65">
        <f t="shared" si="67"/>
        <v>616089.46465625009</v>
      </c>
      <c r="R117" s="65">
        <f t="shared" si="68"/>
        <v>539539.0239583333</v>
      </c>
      <c r="S117" s="65">
        <f t="shared" si="69"/>
        <v>573434.61195833341</v>
      </c>
      <c r="T117" s="65">
        <f t="shared" si="70"/>
        <v>602284.17531249998</v>
      </c>
      <c r="U117" s="65">
        <f t="shared" si="71"/>
        <v>628161.77502083336</v>
      </c>
      <c r="V117" s="65">
        <f t="shared" si="72"/>
        <v>546483.03473958338</v>
      </c>
      <c r="W117" s="65">
        <f t="shared" si="73"/>
        <v>581671.32015625003</v>
      </c>
      <c r="X117" s="65">
        <f t="shared" si="74"/>
        <v>507666.23458333343</v>
      </c>
      <c r="Y117" s="65">
        <f t="shared" si="75"/>
        <v>543006.95770833339</v>
      </c>
      <c r="Z117" s="65">
        <f t="shared" si="76"/>
        <v>573227.91218750004</v>
      </c>
      <c r="AA117" s="1"/>
      <c r="AB117" s="65">
        <f t="shared" si="77"/>
        <v>535264.42484374996</v>
      </c>
      <c r="AC117" s="65">
        <f t="shared" si="78"/>
        <v>573227.91218750004</v>
      </c>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c r="DC117" s="2"/>
      <c r="DD117" s="2"/>
      <c r="DE117" s="2"/>
      <c r="DF117" s="2"/>
      <c r="DG117"/>
      <c r="DH117"/>
    </row>
    <row r="118" spans="1:112" ht="20" customHeight="1" x14ac:dyDescent="0.2">
      <c r="A118" s="1"/>
      <c r="B118" s="61" t="str">
        <f>IF(OR(smp_act_view_idx=3,smp_act_view_idx=4),"EQUITY","")</f>
        <v>EQUITY</v>
      </c>
      <c r="C118" s="2"/>
      <c r="D118" s="2"/>
      <c r="E118" s="2"/>
      <c r="F118" s="2"/>
      <c r="G118" s="2"/>
      <c r="H118" s="2"/>
      <c r="I118" s="2"/>
      <c r="J118" s="2"/>
      <c r="K118" s="2"/>
      <c r="L118" s="2"/>
      <c r="M118" s="2"/>
      <c r="N118" s="2"/>
      <c r="O118" s="2"/>
      <c r="P118" s="2"/>
      <c r="Q118" s="2"/>
      <c r="R118" s="2"/>
      <c r="S118" s="2"/>
      <c r="T118" s="2"/>
      <c r="U118" s="2"/>
      <c r="V118" s="2"/>
      <c r="W118" s="2"/>
      <c r="X118" s="2"/>
      <c r="Y118" s="2"/>
      <c r="Z118" s="2"/>
      <c r="AA118" s="1"/>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c r="DH118"/>
    </row>
    <row r="119" spans="1:112" ht="20" customHeight="1" x14ac:dyDescent="0.2">
      <c r="A119" s="1"/>
      <c r="B119" s="22" t="str">
        <f>IF(OR(smp_act_view_idx=3,smp_act_view_idx=4),"   Share capital","")</f>
        <v xml:space="preserve">   Share capital</v>
      </c>
      <c r="C119" s="62">
        <f>IF(AND(OR(smp_act_view_idx=3,smp_act_view_idx=4),1&lt;=smp_act_horizon_n),CHOOSE(smp_act_scn_idx,AE265,BF265,CG265),"")</f>
        <v>200000</v>
      </c>
      <c r="D119" s="62">
        <f>IF(AND(OR(smp_act_view_idx=3,smp_act_view_idx=4),2&lt;=smp_act_horizon_n),CHOOSE(smp_act_scn_idx,AF265,BG265,CH265),"")</f>
        <v>200000</v>
      </c>
      <c r="E119" s="62">
        <f>IF(AND(OR(smp_act_view_idx=3,smp_act_view_idx=4),3&lt;=smp_act_horizon_n),CHOOSE(smp_act_scn_idx,AG265,BH265,CI265),"")</f>
        <v>200000</v>
      </c>
      <c r="F119" s="62">
        <f>IF(AND(OR(smp_act_view_idx=3,smp_act_view_idx=4),4&lt;=smp_act_horizon_n),CHOOSE(smp_act_scn_idx,AH265,BI265,CJ265),"")</f>
        <v>200000</v>
      </c>
      <c r="G119" s="62">
        <f>IF(AND(OR(smp_act_view_idx=3,smp_act_view_idx=4),5&lt;=smp_act_horizon_n),CHOOSE(smp_act_scn_idx,AI265,BJ265,CK265),"")</f>
        <v>200000</v>
      </c>
      <c r="H119" s="62">
        <f>IF(AND(OR(smp_act_view_idx=3,smp_act_view_idx=4),6&lt;=smp_act_horizon_n),CHOOSE(smp_act_scn_idx,AJ265,BK265,CL265),"")</f>
        <v>200000</v>
      </c>
      <c r="I119" s="62">
        <f>IF(AND(OR(smp_act_view_idx=3,smp_act_view_idx=4),7&lt;=smp_act_horizon_n),CHOOSE(smp_act_scn_idx,AK265,BL265,CM265),"")</f>
        <v>200000</v>
      </c>
      <c r="J119" s="62">
        <f>IF(AND(OR(smp_act_view_idx=3,smp_act_view_idx=4),8&lt;=smp_act_horizon_n),CHOOSE(smp_act_scn_idx,AL265,BM265,CN265),"")</f>
        <v>200000</v>
      </c>
      <c r="K119" s="62">
        <f>IF(AND(OR(smp_act_view_idx=3,smp_act_view_idx=4),9&lt;=smp_act_horizon_n),CHOOSE(smp_act_scn_idx,AM265,BN265,CO265),"")</f>
        <v>200000</v>
      </c>
      <c r="L119" s="62">
        <f>IF(AND(OR(smp_act_view_idx=3,smp_act_view_idx=4),10&lt;=smp_act_horizon_n),CHOOSE(smp_act_scn_idx,AN265,BO265,CP265),"")</f>
        <v>200000</v>
      </c>
      <c r="M119" s="62">
        <f>IF(AND(OR(smp_act_view_idx=3,smp_act_view_idx=4),11&lt;=smp_act_horizon_n),CHOOSE(smp_act_scn_idx,AO265,BP265,CQ265),"")</f>
        <v>200000</v>
      </c>
      <c r="N119" s="62">
        <f>IF(AND(OR(smp_act_view_idx=3,smp_act_view_idx=4),12&lt;=smp_act_horizon_n),CHOOSE(smp_act_scn_idx,AP265,BQ265,CR265),"")</f>
        <v>200000</v>
      </c>
      <c r="O119" s="62">
        <f>IF(AND(OR(smp_act_view_idx=3,smp_act_view_idx=4),13&lt;=smp_act_horizon_n),CHOOSE(smp_act_scn_idx,AQ265,BR265,CS265),"")</f>
        <v>200000</v>
      </c>
      <c r="P119" s="62">
        <f>IF(AND(OR(smp_act_view_idx=3,smp_act_view_idx=4),14&lt;=smp_act_horizon_n),CHOOSE(smp_act_scn_idx,AR265,BS265,CT265),"")</f>
        <v>200000</v>
      </c>
      <c r="Q119" s="62">
        <f>IF(AND(OR(smp_act_view_idx=3,smp_act_view_idx=4),15&lt;=smp_act_horizon_n),CHOOSE(smp_act_scn_idx,AS265,BT265,CU265),"")</f>
        <v>200000</v>
      </c>
      <c r="R119" s="62">
        <f>IF(AND(OR(smp_act_view_idx=3,smp_act_view_idx=4),16&lt;=smp_act_horizon_n),CHOOSE(smp_act_scn_idx,AT265,BU265,CV265),"")</f>
        <v>200000</v>
      </c>
      <c r="S119" s="62">
        <f>IF(AND(OR(smp_act_view_idx=3,smp_act_view_idx=4),17&lt;=smp_act_horizon_n),CHOOSE(smp_act_scn_idx,AU265,BV265,CW265),"")</f>
        <v>200000</v>
      </c>
      <c r="T119" s="62">
        <f>IF(AND(OR(smp_act_view_idx=3,smp_act_view_idx=4),18&lt;=smp_act_horizon_n),CHOOSE(smp_act_scn_idx,AV265,BW265,CX265),"")</f>
        <v>200000</v>
      </c>
      <c r="U119" s="62">
        <f>IF(AND(OR(smp_act_view_idx=3,smp_act_view_idx=4),19&lt;=smp_act_horizon_n),CHOOSE(smp_act_scn_idx,AW265,BX265,CY265),"")</f>
        <v>200000</v>
      </c>
      <c r="V119" s="62">
        <f>IF(AND(OR(smp_act_view_idx=3,smp_act_view_idx=4),20&lt;=smp_act_horizon_n),CHOOSE(smp_act_scn_idx,AX265,BY265,CZ265),"")</f>
        <v>200000</v>
      </c>
      <c r="W119" s="62">
        <f>IF(AND(OR(smp_act_view_idx=3,smp_act_view_idx=4),21&lt;=smp_act_horizon_n),CHOOSE(smp_act_scn_idx,AY265,BZ265,DA265),"")</f>
        <v>200000</v>
      </c>
      <c r="X119" s="62">
        <f>IF(AND(OR(smp_act_view_idx=3,smp_act_view_idx=4),22&lt;=smp_act_horizon_n),CHOOSE(smp_act_scn_idx,AZ265,CA265,DB265),"")</f>
        <v>200000</v>
      </c>
      <c r="Y119" s="62">
        <f>IF(AND(OR(smp_act_view_idx=3,smp_act_view_idx=4),23&lt;=smp_act_horizon_n),CHOOSE(smp_act_scn_idx,BA265,CB265,DC265),"")</f>
        <v>200000</v>
      </c>
      <c r="Z119" s="62">
        <f>IF(AND(OR(smp_act_view_idx=3,smp_act_view_idx=4),24&lt;=smp_act_horizon_n),CHOOSE(smp_act_scn_idx,BB265,CC265,DD265),"")</f>
        <v>200000</v>
      </c>
      <c r="AA119" s="1"/>
      <c r="AB119" s="63">
        <f>IF(OR(smp_act_view_idx=3,smp_act_view_idx=4),CHOOSE(smp_act_scn_idx,BC265,CD265,DE265),"")</f>
        <v>200000</v>
      </c>
      <c r="AC119" s="63">
        <f>IF(AND(OR(smp_act_view_idx=3,smp_act_view_idx=4),smp_act_horizon_n&gt;=24),CHOOSE(smp_act_scn_idx,BD265,CE265,DF265),"")</f>
        <v>200000</v>
      </c>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c r="DH119"/>
    </row>
    <row r="120" spans="1:112" ht="20" customHeight="1" x14ac:dyDescent="0.2">
      <c r="A120" s="1"/>
      <c r="B120" s="22" t="str">
        <f>IF(OR(smp_act_view_idx=3,smp_act_view_idx=4),"   Retained earnings","")</f>
        <v xml:space="preserve">   Retained earnings</v>
      </c>
      <c r="C120" s="62">
        <f>IF(AND(OR(smp_act_view_idx=3,smp_act_view_idx=4),1&lt;=smp_act_horizon_n),CHOOSE(smp_act_scn_idx,AE268,BF268,CG268),"")</f>
        <v>631811.52500000002</v>
      </c>
      <c r="D120" s="62">
        <f>IF(AND(OR(smp_act_view_idx=3,smp_act_view_idx=4),2&lt;=smp_act_horizon_n),CHOOSE(smp_act_scn_idx,AF268,BG268,CH268),"")</f>
        <v>668110.46906250005</v>
      </c>
      <c r="E120" s="62">
        <f>IF(AND(OR(smp_act_view_idx=3,smp_act_view_idx=4),3&lt;=smp_act_horizon_n),CHOOSE(smp_act_scn_idx,AG268,BH268,CI268),"")</f>
        <v>712964.71218749997</v>
      </c>
      <c r="F120" s="62">
        <f>IF(AND(OR(smp_act_view_idx=3,smp_act_view_idx=4),4&lt;=smp_act_horizon_n),CHOOSE(smp_act_scn_idx,AH268,BI268,CJ268),"")</f>
        <v>765775.63437500002</v>
      </c>
      <c r="G120" s="62">
        <f>IF(AND(OR(smp_act_view_idx=3,smp_act_view_idx=4),5&lt;=smp_act_horizon_n),CHOOSE(smp_act_scn_idx,AI268,BJ268,CK268),"")</f>
        <v>825976.95562500006</v>
      </c>
      <c r="H120" s="62">
        <f>IF(AND(OR(smp_act_view_idx=3,smp_act_view_idx=4),6&lt;=smp_act_horizon_n),CHOOSE(smp_act_scn_idx,AJ268,BK268,CL268),"")</f>
        <v>884377.51593750005</v>
      </c>
      <c r="I120" s="62">
        <f>IF(AND(OR(smp_act_view_idx=3,smp_act_view_idx=4),7&lt;=smp_act_horizon_n),CHOOSE(smp_act_scn_idx,AK268,BL268,CM268),"")</f>
        <v>940411.03531250008</v>
      </c>
      <c r="J120" s="62">
        <f>IF(AND(OR(smp_act_view_idx=3,smp_act_view_idx=4),8&lt;=smp_act_horizon_n),CHOOSE(smp_act_scn_idx,AL268,BM268,CN268),"")</f>
        <v>996917.3287500001</v>
      </c>
      <c r="K120" s="62">
        <f>IF(AND(OR(smp_act_view_idx=3,smp_act_view_idx=4),9&lt;=smp_act_horizon_n),CHOOSE(smp_act_scn_idx,AM268,BN268,CO268),"")</f>
        <v>1061380.30125</v>
      </c>
      <c r="L120" s="62">
        <f>IF(AND(OR(smp_act_view_idx=3,smp_act_view_idx=4),10&lt;=smp_act_horizon_n),CHOOSE(smp_act_scn_idx,AN268,BO268,CP268),"")</f>
        <v>1133266.0128125001</v>
      </c>
      <c r="M120" s="62">
        <f>IF(AND(OR(smp_act_view_idx=3,smp_act_view_idx=4),11&lt;=smp_act_horizon_n),CHOOSE(smp_act_scn_idx,AO268,BP268,CQ268),"")</f>
        <v>1210834.8684375002</v>
      </c>
      <c r="N120" s="62">
        <f>IF(AND(OR(smp_act_view_idx=3,smp_act_view_idx=4),12&lt;=smp_act_horizon_n),CHOOSE(smp_act_scn_idx,AP268,BQ268,CR268),"")</f>
        <v>1259442.7781250002</v>
      </c>
      <c r="O120" s="62">
        <f>IF(AND(OR(smp_act_view_idx=3,smp_act_view_idx=4),13&lt;=smp_act_horizon_n),CHOOSE(smp_act_scn_idx,AQ268,BR268,CS268),"")</f>
        <v>1338321.6668750001</v>
      </c>
      <c r="P120" s="62">
        <f>IF(AND(OR(smp_act_view_idx=3,smp_act_view_idx=4),14&lt;=smp_act_horizon_n),CHOOSE(smp_act_scn_idx,AR268,BS268,CT268),"")</f>
        <v>1424057.0146875002</v>
      </c>
      <c r="Q120" s="62">
        <f>IF(AND(OR(smp_act_view_idx=3,smp_act_view_idx=4),15&lt;=smp_act_horizon_n),CHOOSE(smp_act_scn_idx,AS268,BT268,CU268),"")</f>
        <v>1516648.8215625002</v>
      </c>
      <c r="R120" s="62">
        <f>IF(AND(OR(smp_act_view_idx=3,smp_act_view_idx=4),16&lt;=smp_act_horizon_n),CHOOSE(smp_act_scn_idx,AT268,BU268,CV268),"")</f>
        <v>1617197.3075000001</v>
      </c>
      <c r="S120" s="62">
        <f>IF(AND(OR(smp_act_view_idx=3,smp_act_view_idx=4),17&lt;=smp_act_horizon_n),CHOOSE(smp_act_scn_idx,AU268,BV268,CW268),"")</f>
        <v>1723396.5975000001</v>
      </c>
      <c r="T120" s="62">
        <f>IF(AND(OR(smp_act_view_idx=3,smp_act_view_idx=4),18&lt;=smp_act_horizon_n),CHOOSE(smp_act_scn_idx,AV268,BW268,CX268),"")</f>
        <v>1829534.7215625001</v>
      </c>
      <c r="U120" s="62">
        <f>IF(AND(OR(smp_act_view_idx=3,smp_act_view_idx=4),19&lt;=smp_act_horizon_n),CHOOSE(smp_act_scn_idx,AW268,BX268,CY268),"")</f>
        <v>1933305.8046875</v>
      </c>
      <c r="V120" s="62">
        <f>IF(AND(OR(smp_act_view_idx=3,smp_act_view_idx=4),20&lt;=smp_act_horizon_n),CHOOSE(smp_act_scn_idx,AX268,BY268,CZ268),"")</f>
        <v>2038115.941875</v>
      </c>
      <c r="W120" s="62">
        <f>IF(AND(OR(smp_act_view_idx=3,smp_act_view_idx=4),21&lt;=smp_act_horizon_n),CHOOSE(smp_act_scn_idx,AY268,BZ268,DA268),"")</f>
        <v>2147582.098125</v>
      </c>
      <c r="X120" s="62">
        <f>IF(AND(OR(smp_act_view_idx=3,smp_act_view_idx=4),22&lt;=smp_act_horizon_n),CHOOSE(smp_act_scn_idx,AZ268,CA268,DB268),"")</f>
        <v>2261704.2734375</v>
      </c>
      <c r="Y120" s="62">
        <f>IF(AND(OR(smp_act_view_idx=3,smp_act_view_idx=4),23&lt;=smp_act_horizon_n),CHOOSE(smp_act_scn_idx,BA268,CB268,DC268),"")</f>
        <v>2378176.5928125</v>
      </c>
      <c r="Z120" s="62">
        <f>IF(AND(OR(smp_act_view_idx=3,smp_act_view_idx=4),24&lt;=smp_act_horizon_n),CHOOSE(smp_act_scn_idx,BB268,CC268,DD268),"")</f>
        <v>2458387.3062499999</v>
      </c>
      <c r="AA120" s="1"/>
      <c r="AB120" s="63">
        <f>IF(OR(smp_act_view_idx=3,smp_act_view_idx=4),CHOOSE(smp_act_scn_idx,BC268,CD268,DE268),"")</f>
        <v>1259442.7781250002</v>
      </c>
      <c r="AC120" s="63">
        <f>IF(AND(OR(smp_act_view_idx=3,smp_act_view_idx=4),smp_act_horizon_n&gt;=24),CHOOSE(smp_act_scn_idx,BD268,CE268,DF268),"")</f>
        <v>2458387.3062499999</v>
      </c>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c r="DH120"/>
    </row>
    <row r="121" spans="1:112" ht="20" customHeight="1" x14ac:dyDescent="0.2">
      <c r="A121" s="1"/>
      <c r="B121" s="64" t="str">
        <f>IF(OR(smp_act_view_idx=3,smp_act_view_idx=4),"Total equity","")</f>
        <v>Total equity</v>
      </c>
      <c r="C121" s="65">
        <f>IF(AND(OR(smp_act_view_idx=3,smp_act_view_idx=4),1&lt;=smp_act_horizon_n),CHOOSE(smp_act_scn_idx,AE269,BF269,CG269),"")</f>
        <v>831811.52500000002</v>
      </c>
      <c r="D121" s="65">
        <f>IF(AND(OR(smp_act_view_idx=3,smp_act_view_idx=4),2&lt;=smp_act_horizon_n),CHOOSE(smp_act_scn_idx,AF269,BG269,CH269),"")</f>
        <v>868110.46906250005</v>
      </c>
      <c r="E121" s="65">
        <f>IF(AND(OR(smp_act_view_idx=3,smp_act_view_idx=4),3&lt;=smp_act_horizon_n),CHOOSE(smp_act_scn_idx,AG269,BH269,CI269),"")</f>
        <v>912964.71218749997</v>
      </c>
      <c r="F121" s="65">
        <f>IF(AND(OR(smp_act_view_idx=3,smp_act_view_idx=4),4&lt;=smp_act_horizon_n),CHOOSE(smp_act_scn_idx,AH269,BI269,CJ269),"")</f>
        <v>965775.63437500002</v>
      </c>
      <c r="G121" s="65">
        <f>IF(AND(OR(smp_act_view_idx=3,smp_act_view_idx=4),5&lt;=smp_act_horizon_n),CHOOSE(smp_act_scn_idx,AI269,BJ269,CK269),"")</f>
        <v>1025976.9556250001</v>
      </c>
      <c r="H121" s="65">
        <f>IF(AND(OR(smp_act_view_idx=3,smp_act_view_idx=4),6&lt;=smp_act_horizon_n),CHOOSE(smp_act_scn_idx,AJ269,BK269,CL269),"")</f>
        <v>1084377.5159375002</v>
      </c>
      <c r="I121" s="65">
        <f>IF(AND(OR(smp_act_view_idx=3,smp_act_view_idx=4),7&lt;=smp_act_horizon_n),CHOOSE(smp_act_scn_idx,AK269,BL269,CM269),"")</f>
        <v>1140411.0353125001</v>
      </c>
      <c r="J121" s="65">
        <f>IF(AND(OR(smp_act_view_idx=3,smp_act_view_idx=4),8&lt;=smp_act_horizon_n),CHOOSE(smp_act_scn_idx,AL269,BM269,CN269),"")</f>
        <v>1196917.3287500001</v>
      </c>
      <c r="K121" s="65">
        <f>IF(AND(OR(smp_act_view_idx=3,smp_act_view_idx=4),9&lt;=smp_act_horizon_n),CHOOSE(smp_act_scn_idx,AM269,BN269,CO269),"")</f>
        <v>1261380.30125</v>
      </c>
      <c r="L121" s="65">
        <f>IF(AND(OR(smp_act_view_idx=3,smp_act_view_idx=4),10&lt;=smp_act_horizon_n),CHOOSE(smp_act_scn_idx,AN269,BO269,CP269),"")</f>
        <v>1333266.0128125001</v>
      </c>
      <c r="M121" s="65">
        <f>IF(AND(OR(smp_act_view_idx=3,smp_act_view_idx=4),11&lt;=smp_act_horizon_n),CHOOSE(smp_act_scn_idx,AO269,BP269,CQ269),"")</f>
        <v>1410834.8684375002</v>
      </c>
      <c r="N121" s="65">
        <f>IF(AND(OR(smp_act_view_idx=3,smp_act_view_idx=4),12&lt;=smp_act_horizon_n),CHOOSE(smp_act_scn_idx,AP269,BQ269,CR269),"")</f>
        <v>1459442.7781250002</v>
      </c>
      <c r="O121" s="65">
        <f>IF(AND(OR(smp_act_view_idx=3,smp_act_view_idx=4),13&lt;=smp_act_horizon_n),CHOOSE(smp_act_scn_idx,AQ269,BR269,CS269),"")</f>
        <v>1538321.6668750001</v>
      </c>
      <c r="P121" s="65">
        <f>IF(AND(OR(smp_act_view_idx=3,smp_act_view_idx=4),14&lt;=smp_act_horizon_n),CHOOSE(smp_act_scn_idx,AR269,BS269,CT269),"")</f>
        <v>1624057.0146875002</v>
      </c>
      <c r="Q121" s="65">
        <f>IF(AND(OR(smp_act_view_idx=3,smp_act_view_idx=4),15&lt;=smp_act_horizon_n),CHOOSE(smp_act_scn_idx,AS269,BT269,CU269),"")</f>
        <v>1716648.8215625002</v>
      </c>
      <c r="R121" s="65">
        <f>IF(AND(OR(smp_act_view_idx=3,smp_act_view_idx=4),16&lt;=smp_act_horizon_n),CHOOSE(smp_act_scn_idx,AT269,BU269,CV269),"")</f>
        <v>1817197.3075000001</v>
      </c>
      <c r="S121" s="65">
        <f>IF(AND(OR(smp_act_view_idx=3,smp_act_view_idx=4),17&lt;=smp_act_horizon_n),CHOOSE(smp_act_scn_idx,AU269,BV269,CW269),"")</f>
        <v>1923396.5975000001</v>
      </c>
      <c r="T121" s="65">
        <f>IF(AND(OR(smp_act_view_idx=3,smp_act_view_idx=4),18&lt;=smp_act_horizon_n),CHOOSE(smp_act_scn_idx,AV269,BW269,CX269),"")</f>
        <v>2029534.7215625001</v>
      </c>
      <c r="U121" s="65">
        <f>IF(AND(OR(smp_act_view_idx=3,smp_act_view_idx=4),19&lt;=smp_act_horizon_n),CHOOSE(smp_act_scn_idx,AW269,BX269,CY269),"")</f>
        <v>2133305.8046875</v>
      </c>
      <c r="V121" s="65">
        <f>IF(AND(OR(smp_act_view_idx=3,smp_act_view_idx=4),20&lt;=smp_act_horizon_n),CHOOSE(smp_act_scn_idx,AX269,BY269,CZ269),"")</f>
        <v>2238115.941875</v>
      </c>
      <c r="W121" s="65">
        <f>IF(AND(OR(smp_act_view_idx=3,smp_act_view_idx=4),21&lt;=smp_act_horizon_n),CHOOSE(smp_act_scn_idx,AY269,BZ269,DA269),"")</f>
        <v>2347582.098125</v>
      </c>
      <c r="X121" s="65">
        <f>IF(AND(OR(smp_act_view_idx=3,smp_act_view_idx=4),22&lt;=smp_act_horizon_n),CHOOSE(smp_act_scn_idx,AZ269,CA269,DB269),"")</f>
        <v>2461704.2734375</v>
      </c>
      <c r="Y121" s="65">
        <f>IF(AND(OR(smp_act_view_idx=3,smp_act_view_idx=4),23&lt;=smp_act_horizon_n),CHOOSE(smp_act_scn_idx,BA269,CB269,DC269),"")</f>
        <v>2578176.5928125</v>
      </c>
      <c r="Z121" s="65">
        <f>IF(AND(OR(smp_act_view_idx=3,smp_act_view_idx=4),24&lt;=smp_act_horizon_n),CHOOSE(smp_act_scn_idx,BB269,CC269,DD269),"")</f>
        <v>2658387.3062499999</v>
      </c>
      <c r="AA121" s="1"/>
      <c r="AB121" s="65">
        <f>IF(OR(smp_act_view_idx=3,smp_act_view_idx=4),CHOOSE(smp_act_scn_idx,BC269,CD269,DE269),"")</f>
        <v>1459442.7781250002</v>
      </c>
      <c r="AC121" s="65">
        <f>IF(AND(OR(smp_act_view_idx=3,smp_act_view_idx=4),smp_act_horizon_n&gt;=24),CHOOSE(smp_act_scn_idx,BD269,CE269,DF269),"")</f>
        <v>2658387.3062499999</v>
      </c>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c r="CW121" s="2"/>
      <c r="CX121" s="2"/>
      <c r="CY121" s="2"/>
      <c r="CZ121" s="2"/>
      <c r="DA121" s="2"/>
      <c r="DB121" s="2"/>
      <c r="DC121" s="2"/>
      <c r="DD121" s="2"/>
      <c r="DE121" s="2"/>
      <c r="DF121" s="2"/>
      <c r="DG121"/>
      <c r="DH121"/>
    </row>
    <row r="122" spans="1:112" ht="20" customHeight="1" x14ac:dyDescent="0.2">
      <c r="A122" s="1"/>
      <c r="B122" s="66" t="str">
        <f>IF(OR(smp_act_view_idx=3,smp_act_view_idx=4),"TOTAL LIABILITIES + EQUITY","")</f>
        <v>TOTAL LIABILITIES + EQUITY</v>
      </c>
      <c r="C122" s="67">
        <f>IF(AND(OR(smp_act_view_idx=3,smp_act_view_idx=4),1&lt;=smp_act_horizon_n),CHOOSE(smp_act_scn_idx,AE270,BF270,CG270),"")</f>
        <v>1370927.2033333334</v>
      </c>
      <c r="D122" s="67">
        <f>IF(AND(OR(smp_act_view_idx=3,smp_act_view_idx=4),2&lt;=smp_act_horizon_n),CHOOSE(smp_act_scn_idx,AF270,BG270,CH270),"")</f>
        <v>1419577.6820833334</v>
      </c>
      <c r="E122" s="67">
        <f>IF(AND(OR(smp_act_view_idx=3,smp_act_view_idx=4),3&lt;=smp_act_horizon_n),CHOOSE(smp_act_scn_idx,AG270,BH270,CI270),"")</f>
        <v>1480333.7702500001</v>
      </c>
      <c r="F122" s="67">
        <f>IF(AND(OR(smp_act_view_idx=3,smp_act_view_idx=4),4&lt;=smp_act_horizon_n),CHOOSE(smp_act_scn_idx,AH270,BI270,CJ270),"")</f>
        <v>1486223.5429895832</v>
      </c>
      <c r="G122" s="67">
        <f>IF(AND(OR(smp_act_view_idx=3,smp_act_view_idx=4),5&lt;=smp_act_horizon_n),CHOOSE(smp_act_scn_idx,AI270,BJ270,CK270),"")</f>
        <v>1566860.2819895833</v>
      </c>
      <c r="H122" s="67">
        <f>IF(AND(OR(smp_act_view_idx=3,smp_act_view_idx=4),6&lt;=smp_act_horizon_n),CHOOSE(smp_act_scn_idx,AJ270,BK270,CL270),"")</f>
        <v>1636325.3984062502</v>
      </c>
      <c r="I122" s="67">
        <f>IF(AND(OR(smp_act_view_idx=3,smp_act_view_idx=4),7&lt;=smp_act_horizon_n),CHOOSE(smp_act_scn_idx,AK270,BL270,CM270),"")</f>
        <v>1702323.9962395835</v>
      </c>
      <c r="J122" s="67">
        <f>IF(AND(OR(smp_act_view_idx=3,smp_act_view_idx=4),8&lt;=smp_act_horizon_n),CHOOSE(smp_act_scn_idx,AL270,BM270,CN270),"")</f>
        <v>1706281.6166458335</v>
      </c>
      <c r="K122" s="67">
        <f>IF(AND(OR(smp_act_view_idx=3,smp_act_view_idx=4),9&lt;=smp_act_horizon_n),CHOOSE(smp_act_scn_idx,AM270,BN270,CO270),"")</f>
        <v>1792911.0213125001</v>
      </c>
      <c r="L122" s="67">
        <f>IF(AND(OR(smp_act_view_idx=3,smp_act_view_idx=4),10&lt;=smp_act_horizon_n),CHOOSE(smp_act_scn_idx,AN270,BO270,CP270),"")</f>
        <v>1823884.5745520834</v>
      </c>
      <c r="M122" s="67">
        <f>IF(AND(OR(smp_act_view_idx=3,smp_act_view_idx=4),11&lt;=smp_act_horizon_n),CHOOSE(smp_act_scn_idx,AO270,BP270,CQ270),"")</f>
        <v>1925766.7320520836</v>
      </c>
      <c r="N122" s="67">
        <f>IF(AND(OR(smp_act_view_idx=3,smp_act_view_idx=4),12&lt;=smp_act_horizon_n),CHOOSE(smp_act_scn_idx,AP270,BQ270,CR270),"")</f>
        <v>1994707.2029687501</v>
      </c>
      <c r="O122" s="67">
        <f>IF(AND(OR(smp_act_view_idx=3,smp_act_view_idx=4),13&lt;=smp_act_horizon_n),CHOOSE(smp_act_scn_idx,AQ270,BR270,CS270),"")</f>
        <v>2094930.6693020836</v>
      </c>
      <c r="P122" s="67">
        <f>IF(AND(OR(smp_act_view_idx=3,smp_act_view_idx=4),14&lt;=smp_act_horizon_n),CHOOSE(smp_act_scn_idx,AR270,BS270,CT270),"")</f>
        <v>2209263.5050520836</v>
      </c>
      <c r="Q122" s="67">
        <f>IF(AND(OR(smp_act_view_idx=3,smp_act_view_idx=4),15&lt;=smp_act_horizon_n),CHOOSE(smp_act_scn_idx,AS270,BT270,CU270),"")</f>
        <v>2332738.2862187503</v>
      </c>
      <c r="R122" s="67">
        <f>IF(AND(OR(smp_act_view_idx=3,smp_act_view_idx=4),16&lt;=smp_act_horizon_n),CHOOSE(smp_act_scn_idx,AT270,BU270,CV270),"")</f>
        <v>2356736.3314583334</v>
      </c>
      <c r="S122" s="67">
        <f>IF(AND(OR(smp_act_view_idx=3,smp_act_view_idx=4),17&lt;=smp_act_horizon_n),CHOOSE(smp_act_scn_idx,AU270,BV270,CW270),"")</f>
        <v>2496831.2094583334</v>
      </c>
      <c r="T122" s="67">
        <f>IF(AND(OR(smp_act_view_idx=3,smp_act_view_idx=4),18&lt;=smp_act_horizon_n),CHOOSE(smp_act_scn_idx,AV270,BW270,CX270),"")</f>
        <v>2631818.8968750001</v>
      </c>
      <c r="U122" s="67">
        <f>IF(AND(OR(smp_act_view_idx=3,smp_act_view_idx=4),19&lt;=smp_act_horizon_n),CHOOSE(smp_act_scn_idx,AW270,BX270,CY270),"")</f>
        <v>2761467.5797083331</v>
      </c>
      <c r="V122" s="67">
        <f>IF(AND(OR(smp_act_view_idx=3,smp_act_view_idx=4),20&lt;=smp_act_horizon_n),CHOOSE(smp_act_scn_idx,AX270,BY270,CZ270),"")</f>
        <v>2784598.9766145833</v>
      </c>
      <c r="W122" s="67">
        <f>IF(AND(OR(smp_act_view_idx=3,smp_act_view_idx=4),21&lt;=smp_act_horizon_n),CHOOSE(smp_act_scn_idx,AY270,BZ270,DA270),"")</f>
        <v>2929253.4182812502</v>
      </c>
      <c r="X122" s="67">
        <f>IF(AND(OR(smp_act_view_idx=3,smp_act_view_idx=4),22&lt;=smp_act_horizon_n),CHOOSE(smp_act_scn_idx,AZ270,CA270,DB270),"")</f>
        <v>2969370.5080208336</v>
      </c>
      <c r="Y122" s="67">
        <f>IF(AND(OR(smp_act_view_idx=3,smp_act_view_idx=4),23&lt;=smp_act_horizon_n),CHOOSE(smp_act_scn_idx,BA270,CB270,DC270),"")</f>
        <v>3121183.5505208336</v>
      </c>
      <c r="Z122" s="67">
        <f>IF(AND(OR(smp_act_view_idx=3,smp_act_view_idx=4),24&lt;=smp_act_horizon_n),CHOOSE(smp_act_scn_idx,BB270,CC270,DD270),"")</f>
        <v>3231615.2184374998</v>
      </c>
      <c r="AA122" s="1"/>
      <c r="AB122" s="67">
        <f>IF(OR(smp_act_view_idx=3,smp_act_view_idx=4),CHOOSE(smp_act_scn_idx,BC270,CD270,DE270),"")</f>
        <v>1994707.2029687501</v>
      </c>
      <c r="AC122" s="67">
        <f>IF(AND(OR(smp_act_view_idx=3,smp_act_view_idx=4),smp_act_horizon_n&gt;=24),CHOOSE(smp_act_scn_idx,BD270,CE270,DF270),"")</f>
        <v>3231615.2184374998</v>
      </c>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c r="CW122" s="2"/>
      <c r="CX122" s="2"/>
      <c r="CY122" s="2"/>
      <c r="CZ122" s="2"/>
      <c r="DA122" s="2"/>
      <c r="DB122" s="2"/>
      <c r="DC122" s="2"/>
      <c r="DD122" s="2"/>
      <c r="DE122" s="2"/>
      <c r="DF122" s="2"/>
      <c r="DG122"/>
      <c r="DH122"/>
    </row>
    <row r="123" spans="1:112" ht="20" customHeight="1" x14ac:dyDescent="0.2">
      <c r="A123" s="1"/>
      <c r="B123" s="22" t="str">
        <f>IF(OR(smp_act_view_idx=3,smp_act_view_idx=4),"   BS check (Total Assets − Total L+E)","")</f>
        <v xml:space="preserve">   BS check (Total Assets − Total L+E)</v>
      </c>
      <c r="C123" s="62">
        <f>IF(AND(OR(smp_act_view_idx=3,smp_act_view_idx=4),1&lt;=smp_act_horizon_n),CHOOSE(smp_act_scn_idx,AE271,BF271,CG271),"")</f>
        <v>0</v>
      </c>
      <c r="D123" s="62">
        <f>IF(AND(OR(smp_act_view_idx=3,smp_act_view_idx=4),2&lt;=smp_act_horizon_n),CHOOSE(smp_act_scn_idx,AF271,BG271,CH271),"")</f>
        <v>0</v>
      </c>
      <c r="E123" s="62">
        <f>IF(AND(OR(smp_act_view_idx=3,smp_act_view_idx=4),3&lt;=smp_act_horizon_n),CHOOSE(smp_act_scn_idx,AG271,BH271,CI271),"")</f>
        <v>0</v>
      </c>
      <c r="F123" s="62">
        <f>IF(AND(OR(smp_act_view_idx=3,smp_act_view_idx=4),4&lt;=smp_act_horizon_n),CHOOSE(smp_act_scn_idx,AH271,BI271,CJ271),"")</f>
        <v>0</v>
      </c>
      <c r="G123" s="62">
        <f>IF(AND(OR(smp_act_view_idx=3,smp_act_view_idx=4),5&lt;=smp_act_horizon_n),CHOOSE(smp_act_scn_idx,AI271,BJ271,CK271),"")</f>
        <v>0</v>
      </c>
      <c r="H123" s="62">
        <f>IF(AND(OR(smp_act_view_idx=3,smp_act_view_idx=4),6&lt;=smp_act_horizon_n),CHOOSE(smp_act_scn_idx,AJ271,BK271,CL271),"")</f>
        <v>0</v>
      </c>
      <c r="I123" s="62">
        <f>IF(AND(OR(smp_act_view_idx=3,smp_act_view_idx=4),7&lt;=smp_act_horizon_n),CHOOSE(smp_act_scn_idx,AK271,BL271,CM271),"")</f>
        <v>0</v>
      </c>
      <c r="J123" s="62">
        <f>IF(AND(OR(smp_act_view_idx=3,smp_act_view_idx=4),8&lt;=smp_act_horizon_n),CHOOSE(smp_act_scn_idx,AL271,BM271,CN271),"")</f>
        <v>0</v>
      </c>
      <c r="K123" s="62">
        <f>IF(AND(OR(smp_act_view_idx=3,smp_act_view_idx=4),9&lt;=smp_act_horizon_n),CHOOSE(smp_act_scn_idx,AM271,BN271,CO271),"")</f>
        <v>0</v>
      </c>
      <c r="L123" s="62">
        <f>IF(AND(OR(smp_act_view_idx=3,smp_act_view_idx=4),10&lt;=smp_act_horizon_n),CHOOSE(smp_act_scn_idx,AN271,BO271,CP271),"")</f>
        <v>0</v>
      </c>
      <c r="M123" s="62">
        <f>IF(AND(OR(smp_act_view_idx=3,smp_act_view_idx=4),11&lt;=smp_act_horizon_n),CHOOSE(smp_act_scn_idx,AO271,BP271,CQ271),"")</f>
        <v>0</v>
      </c>
      <c r="N123" s="62">
        <f>IF(AND(OR(smp_act_view_idx=3,smp_act_view_idx=4),12&lt;=smp_act_horizon_n),CHOOSE(smp_act_scn_idx,AP271,BQ271,CR271),"")</f>
        <v>0</v>
      </c>
      <c r="O123" s="62">
        <f>IF(AND(OR(smp_act_view_idx=3,smp_act_view_idx=4),13&lt;=smp_act_horizon_n),CHOOSE(smp_act_scn_idx,AQ271,BR271,CS271),"")</f>
        <v>0</v>
      </c>
      <c r="P123" s="62">
        <f>IF(AND(OR(smp_act_view_idx=3,smp_act_view_idx=4),14&lt;=smp_act_horizon_n),CHOOSE(smp_act_scn_idx,AR271,BS271,CT271),"")</f>
        <v>0</v>
      </c>
      <c r="Q123" s="62">
        <f>IF(AND(OR(smp_act_view_idx=3,smp_act_view_idx=4),15&lt;=smp_act_horizon_n),CHOOSE(smp_act_scn_idx,AS271,BT271,CU271),"")</f>
        <v>0</v>
      </c>
      <c r="R123" s="62">
        <f>IF(AND(OR(smp_act_view_idx=3,smp_act_view_idx=4),16&lt;=smp_act_horizon_n),CHOOSE(smp_act_scn_idx,AT271,BU271,CV271),"")</f>
        <v>0</v>
      </c>
      <c r="S123" s="62">
        <f>IF(AND(OR(smp_act_view_idx=3,smp_act_view_idx=4),17&lt;=smp_act_horizon_n),CHOOSE(smp_act_scn_idx,AU271,BV271,CW271),"")</f>
        <v>0</v>
      </c>
      <c r="T123" s="62">
        <f>IF(AND(OR(smp_act_view_idx=3,smp_act_view_idx=4),18&lt;=smp_act_horizon_n),CHOOSE(smp_act_scn_idx,AV271,BW271,CX271),"")</f>
        <v>0</v>
      </c>
      <c r="U123" s="62">
        <f>IF(AND(OR(smp_act_view_idx=3,smp_act_view_idx=4),19&lt;=smp_act_horizon_n),CHOOSE(smp_act_scn_idx,AW271,BX271,CY271),"")</f>
        <v>0</v>
      </c>
      <c r="V123" s="62">
        <f>IF(AND(OR(smp_act_view_idx=3,smp_act_view_idx=4),20&lt;=smp_act_horizon_n),CHOOSE(smp_act_scn_idx,AX271,BY271,CZ271),"")</f>
        <v>0</v>
      </c>
      <c r="W123" s="62">
        <f>IF(AND(OR(smp_act_view_idx=3,smp_act_view_idx=4),21&lt;=smp_act_horizon_n),CHOOSE(smp_act_scn_idx,AY271,BZ271,DA271),"")</f>
        <v>0</v>
      </c>
      <c r="X123" s="62">
        <f>IF(AND(OR(smp_act_view_idx=3,smp_act_view_idx=4),22&lt;=smp_act_horizon_n),CHOOSE(smp_act_scn_idx,AZ271,CA271,DB271),"")</f>
        <v>0</v>
      </c>
      <c r="Y123" s="62">
        <f>IF(AND(OR(smp_act_view_idx=3,smp_act_view_idx=4),23&lt;=smp_act_horizon_n),CHOOSE(smp_act_scn_idx,BA271,CB271,DC271),"")</f>
        <v>0</v>
      </c>
      <c r="Z123" s="62">
        <f>IF(AND(OR(smp_act_view_idx=3,smp_act_view_idx=4),24&lt;=smp_act_horizon_n),CHOOSE(smp_act_scn_idx,BB271,CC271,DD271),"")</f>
        <v>0</v>
      </c>
      <c r="AA123" s="1"/>
      <c r="AB123" s="63">
        <f>IF(OR(smp_act_view_idx=3,smp_act_view_idx=4),CHOOSE(smp_act_scn_idx,BC271,CD271,DE271),"")</f>
        <v>0</v>
      </c>
      <c r="AC123" s="63">
        <f>IF(AND(OR(smp_act_view_idx=3,smp_act_view_idx=4),smp_act_horizon_n&gt;=24),CHOOSE(smp_act_scn_idx,BD271,CE271,DF271),"")</f>
        <v>0</v>
      </c>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c r="CW123" s="2"/>
      <c r="CX123" s="2"/>
      <c r="CY123" s="2"/>
      <c r="CZ123" s="2"/>
      <c r="DA123" s="2"/>
      <c r="DB123" s="2"/>
      <c r="DC123" s="2"/>
      <c r="DD123" s="2"/>
      <c r="DE123" s="2"/>
      <c r="DF123" s="2"/>
      <c r="DG123"/>
      <c r="DH123"/>
    </row>
    <row r="124" spans="1:112" x14ac:dyDescent="0.2">
      <c r="A124" s="1"/>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c r="CX124" s="2"/>
      <c r="CY124" s="2"/>
      <c r="CZ124" s="2"/>
      <c r="DA124" s="2"/>
      <c r="DB124" s="2"/>
      <c r="DC124" s="2"/>
      <c r="DD124" s="2"/>
      <c r="DE124" s="2"/>
      <c r="DF124" s="2"/>
      <c r="DG124"/>
      <c r="DH124"/>
    </row>
    <row r="125" spans="1:112" x14ac:dyDescent="0.2">
      <c r="A125" s="1"/>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c r="DH125"/>
    </row>
    <row r="126" spans="1:112" x14ac:dyDescent="0.2">
      <c r="A126" s="1"/>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c r="CW126" s="2"/>
      <c r="CX126" s="2"/>
      <c r="CY126" s="2"/>
      <c r="CZ126" s="2"/>
      <c r="DA126" s="2"/>
      <c r="DB126" s="2"/>
      <c r="DC126" s="2"/>
      <c r="DD126" s="2"/>
      <c r="DE126" s="2"/>
      <c r="DF126" s="2"/>
      <c r="DG126"/>
      <c r="DH126"/>
    </row>
    <row r="127" spans="1:112" x14ac:dyDescent="0.2">
      <c r="A127" s="1"/>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c r="CW127" s="2"/>
      <c r="CX127" s="2"/>
      <c r="CY127" s="2"/>
      <c r="CZ127" s="2"/>
      <c r="DA127" s="2"/>
      <c r="DB127" s="2"/>
      <c r="DC127" s="2"/>
      <c r="DD127" s="2"/>
      <c r="DE127" s="2"/>
      <c r="DF127" s="2"/>
      <c r="DG127"/>
      <c r="DH127"/>
    </row>
    <row r="128" spans="1:112" x14ac:dyDescent="0.2">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c r="CT128" s="2"/>
      <c r="CU128" s="2"/>
      <c r="CV128" s="2"/>
      <c r="CW128" s="2"/>
      <c r="CX128" s="2"/>
      <c r="CY128" s="2"/>
      <c r="CZ128" s="2"/>
      <c r="DA128" s="2"/>
      <c r="DB128" s="2"/>
      <c r="DC128" s="2"/>
      <c r="DD128" s="2"/>
      <c r="DE128" s="2"/>
      <c r="DF128" s="2"/>
      <c r="DG128"/>
      <c r="DH128"/>
    </row>
    <row r="129" spans="1:112" ht="22" customHeight="1" x14ac:dyDescent="0.2">
      <c r="A129" s="1"/>
      <c r="B129" s="57" t="s">
        <v>42</v>
      </c>
      <c r="C129" s="20"/>
      <c r="D129" s="20"/>
      <c r="E129" s="20"/>
      <c r="F129" s="20"/>
      <c r="G129" s="20"/>
      <c r="H129" s="20"/>
      <c r="I129" s="20"/>
      <c r="J129" s="20"/>
      <c r="K129" s="20"/>
      <c r="L129" s="20"/>
      <c r="M129" s="20"/>
      <c r="N129" s="20"/>
      <c r="O129" s="20"/>
      <c r="P129" s="20"/>
      <c r="Q129" s="20"/>
      <c r="R129" s="20"/>
      <c r="S129" s="20"/>
      <c r="T129" s="20"/>
      <c r="U129" s="20"/>
      <c r="V129" s="20"/>
      <c r="W129" s="20"/>
      <c r="X129" s="20"/>
      <c r="Y129" s="20"/>
      <c r="Z129" s="20"/>
      <c r="AA129" s="20"/>
      <c r="AB129" s="20"/>
      <c r="AC129" s="21" t="s">
        <v>43</v>
      </c>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c r="CS129" s="2"/>
      <c r="CT129" s="2"/>
      <c r="CU129" s="2"/>
      <c r="CV129" s="2"/>
      <c r="CW129" s="2"/>
      <c r="CX129" s="2"/>
      <c r="CY129" s="2"/>
      <c r="CZ129" s="2"/>
      <c r="DA129" s="2"/>
      <c r="DB129" s="2"/>
      <c r="DC129" s="2"/>
      <c r="DD129" s="2"/>
      <c r="DE129" s="2"/>
      <c r="DF129" s="2"/>
      <c r="DG129"/>
      <c r="DH129"/>
    </row>
    <row r="130" spans="1:112" ht="22" customHeight="1" x14ac:dyDescent="0.2">
      <c r="A130" s="1"/>
      <c r="B130" s="27"/>
      <c r="C130" s="28" t="s">
        <v>44</v>
      </c>
      <c r="D130" s="28" t="s">
        <v>45</v>
      </c>
      <c r="E130" s="28" t="s">
        <v>46</v>
      </c>
      <c r="F130" s="28" t="s">
        <v>47</v>
      </c>
      <c r="G130" s="28" t="s">
        <v>48</v>
      </c>
      <c r="H130" s="28" t="s">
        <v>49</v>
      </c>
      <c r="I130" s="28" t="s">
        <v>50</v>
      </c>
      <c r="J130" s="28" t="s">
        <v>51</v>
      </c>
      <c r="K130" s="28" t="s">
        <v>52</v>
      </c>
      <c r="L130" s="28" t="s">
        <v>53</v>
      </c>
      <c r="M130" s="28" t="s">
        <v>54</v>
      </c>
      <c r="N130" s="28" t="s">
        <v>55</v>
      </c>
      <c r="O130" s="28" t="s">
        <v>56</v>
      </c>
      <c r="P130" s="28" t="s">
        <v>57</v>
      </c>
      <c r="Q130" s="28" t="s">
        <v>58</v>
      </c>
      <c r="R130" s="28" t="s">
        <v>59</v>
      </c>
      <c r="S130" s="28" t="s">
        <v>60</v>
      </c>
      <c r="T130" s="28" t="s">
        <v>61</v>
      </c>
      <c r="U130" s="28" t="s">
        <v>62</v>
      </c>
      <c r="V130" s="28" t="s">
        <v>63</v>
      </c>
      <c r="W130" s="28" t="s">
        <v>64</v>
      </c>
      <c r="X130" s="28" t="s">
        <v>65</v>
      </c>
      <c r="Y130" s="28" t="s">
        <v>66</v>
      </c>
      <c r="Z130" s="28" t="s">
        <v>67</v>
      </c>
      <c r="AA130" s="1"/>
      <c r="AB130" s="28" t="s">
        <v>41</v>
      </c>
      <c r="AC130" s="28" t="s">
        <v>68</v>
      </c>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c r="CS130" s="2"/>
      <c r="CT130" s="2"/>
      <c r="CU130" s="2"/>
      <c r="CV130" s="2"/>
      <c r="CW130" s="2"/>
      <c r="CX130" s="2"/>
      <c r="CY130" s="2"/>
      <c r="CZ130" s="2"/>
      <c r="DA130" s="2"/>
      <c r="DB130" s="2"/>
      <c r="DC130" s="2"/>
      <c r="DD130" s="2"/>
      <c r="DE130" s="2"/>
      <c r="DF130" s="2"/>
      <c r="DG130"/>
      <c r="DH130"/>
    </row>
    <row r="131" spans="1:112" ht="20" customHeight="1" x14ac:dyDescent="0.2">
      <c r="A131" s="1"/>
      <c r="B131" s="22" t="s">
        <v>69</v>
      </c>
      <c r="C131" s="69">
        <f>IF(1&gt;smp_act_horizon_n,"",CHOOSE(smp_act_scn_idx,(AE250+AE251-AE257-AE258),(BF250+BF251-BF257-BF258),(CG250+CG251-CG257-CG258)))</f>
        <v>449821.82999999996</v>
      </c>
      <c r="D131" s="69">
        <f>IF(2&gt;smp_act_horizon_n,"",CHOOSE(smp_act_scn_idx,(AF250+AF251-AF257-AF258),(BG250+BG251-BG257-BG258),(CH250+CH251-CH257-CH258)))</f>
        <v>470028.61</v>
      </c>
      <c r="E131" s="69">
        <f>IF(3&gt;smp_act_horizon_n,"",CHOOSE(smp_act_scn_idx,(AG250+AG251-AG257-AG258),(BH250+BH251-BH257-BH258),(CI250+CI251-CI257-CI258)))</f>
        <v>493020.17933333333</v>
      </c>
      <c r="F131" s="69">
        <f>IF(4&gt;smp_act_horizon_n,"",CHOOSE(smp_act_scn_idx,(AH250+AH251-AH257-AH258),(BI250+BI251-BI257-BI258),(CJ250+CJ251-CJ257-CJ258)))</f>
        <v>514541.73800000013</v>
      </c>
      <c r="G131" s="69">
        <f>IF(5&gt;smp_act_horizon_n,"",CHOOSE(smp_act_scn_idx,(AI250+AI251-AI257-AI258),(BJ250+BJ251-BJ257-BJ258),(CK250+CK251-CK257-CK258)))</f>
        <v>534632.09400000004</v>
      </c>
      <c r="H131" s="69">
        <f>IF(6&gt;smp_act_horizon_n,"",CHOOSE(smp_act_scn_idx,(AJ250+AJ251-AJ257-AJ258),(BK250+BK251-BK257-BK258),(CL250+CL251-CL257-CL258)))</f>
        <v>528659.72466666671</v>
      </c>
      <c r="I131" s="69">
        <f>IF(7&gt;smp_act_horizon_n,"",CHOOSE(smp_act_scn_idx,(AK250+AK251-AK257-AK258),(BL250+BL251-BL257-BL258),(CM250+CM251-CM257-CM258)))</f>
        <v>521256.15266666666</v>
      </c>
      <c r="J131" s="69">
        <f>IF(8&gt;smp_act_horizon_n,"",CHOOSE(smp_act_scn_idx,(AL250+AL251-AL257-AL258),(BM250+BM251-BM257-BM258),(CN250+CN251-CN257-CN258)))</f>
        <v>521770.35866666655</v>
      </c>
      <c r="K131" s="69">
        <f>IF(9&gt;smp_act_horizon_n,"",CHOOSE(smp_act_scn_idx,(AM250+AM251-AM257-AM258),(BN250+BN251-BN257-BN258),(CO250+CO251-CO257-CO258)))</f>
        <v>543291.91733333352</v>
      </c>
      <c r="L131" s="69">
        <f>IF(10&gt;smp_act_horizon_n,"",CHOOSE(smp_act_scn_idx,(AN250+AN251-AN257-AN258),(BO250+BO251-BO257-BO258),(CP250+CP251-CP257-CP258)))</f>
        <v>563421.08133333351</v>
      </c>
      <c r="M131" s="69">
        <f>IF(11&gt;smp_act_horizon_n,"",CHOOSE(smp_act_scn_idx,(AO250+AO251-AO257-AO258),(BP250+BP251-BP257-BP258),(CQ250+CQ251-CQ257-CQ258)))</f>
        <v>578456.06466666679</v>
      </c>
      <c r="N131" s="69">
        <f>IF(12&gt;smp_act_horizon_n,"",CHOOSE(smp_act_scn_idx,(AP250+AP251-AP257-AP258),(BQ250+BQ251-BQ257-BQ258),(CR250+CR251-CR257-CR258)))</f>
        <v>580401.4733333335</v>
      </c>
      <c r="O131" s="69">
        <f>IF(13&gt;smp_act_horizon_n,"",CHOOSE(smp_act_scn_idx,(AQ250+AQ251-AQ257-AQ258),(BR250+BR251-BR257-BR258),(CS250+CS251-CS257-CS258)))</f>
        <v>581425.19200000004</v>
      </c>
      <c r="P131" s="69">
        <f>IF(14&gt;smp_act_horizon_n,"",CHOOSE(smp_act_scn_idx,(AR250+AR251-AR257-AR258),(BS250+BS251-BS257-BS258),(CT250+CT251-CT257-CT258)))</f>
        <v>600123.15333333332</v>
      </c>
      <c r="Q131" s="69">
        <f>IF(15&gt;smp_act_horizon_n,"",CHOOSE(smp_act_scn_idx,(AS250+AS251-AS257-AS258),(BT250+BT251-BT257-BT258),(CU250+CU251-CU257-CU258)))</f>
        <v>618821.1146666666</v>
      </c>
      <c r="R131" s="69">
        <f>IF(16&gt;smp_act_horizon_n,"",CHOOSE(smp_act_scn_idx,(AT250+AT251-AT257-AT258),(BU250+BU251-BU257-BU258),(CV250+CV251-CV257-CV258)))</f>
        <v>640342.67333333334</v>
      </c>
      <c r="S131" s="69">
        <f>IF(17&gt;smp_act_horizon_n,"",CHOOSE(smp_act_scn_idx,(AU250+AU251-AU257-AU258),(BV250+BV251-BV257-BV258),(CW250+CW251-CW257-CW258)))</f>
        <v>655338.84866666654</v>
      </c>
      <c r="T131" s="69">
        <f>IF(18&gt;smp_act_horizon_n,"",CHOOSE(smp_act_scn_idx,(AV250+AV251-AV257-AV258),(BW250+BW251-BW257-BW258),(CX250+CX251-CX257-CX258)))</f>
        <v>654460.65999999992</v>
      </c>
      <c r="U131" s="69">
        <f>IF(19&gt;smp_act_horizon_n,"",CHOOSE(smp_act_scn_idx,(AW250+AW251-AW257-AW258),(BX250+BX251-BX257-BX258),(CY250+CY251-CY257-CY258)))</f>
        <v>647057.08799999999</v>
      </c>
      <c r="V131" s="69">
        <f>IF(20&gt;smp_act_horizon_n,"",CHOOSE(smp_act_scn_idx,(AX250+AX251-AX257-AX258),(BY250+BY251-BY257-BY258),(CZ250+CZ251-CZ257-CZ258)))</f>
        <v>649002.49666666659</v>
      </c>
      <c r="W131" s="69">
        <f>IF(21&gt;smp_act_horizon_n,"",CHOOSE(smp_act_scn_idx,(AY250+AY251-AY257-AY258),(BZ250+BZ251-BZ257-BZ258),(DA250+DA251-DA257-DA258)))</f>
        <v>662053.26333333331</v>
      </c>
      <c r="X131" s="69">
        <f>IF(22&gt;smp_act_horizon_n,"",CHOOSE(smp_act_scn_idx,(AZ250+AZ251-AZ257-AZ258),(CA250+CA251-CA257-CA258),(DB250+DB251-DB257-DB258)))</f>
        <v>675104.02999999991</v>
      </c>
      <c r="Y131" s="69">
        <f>IF(23&gt;smp_act_horizon_n,"",CHOOSE(smp_act_scn_idx,(BA250+BA251-BA257-BA258),(CB250+CB251-CB257-CB258),(DC250+DC251-DC257-DC258)))</f>
        <v>681629.41333333333</v>
      </c>
      <c r="Z131" s="69">
        <f>IF(24&gt;smp_act_horizon_n,"",CHOOSE(smp_act_scn_idx,(BB250+BB251-BB257-BB258),(CC250+CC251-CC257-CC258),(DD250+DD251-DD257-DD258)))</f>
        <v>675104.02999999991</v>
      </c>
      <c r="AA131" s="1"/>
      <c r="AB131" s="70">
        <f>CHOOSE(smp_act_scn_idx,(INDEX(AE250:BB250,smp_act_horizon_n)+INDEX(AE251:BB251,smp_act_horizon_n)-INDEX(AE257:BB257,smp_act_horizon_n)-INDEX(AE258:BB258,smp_act_horizon_n)),(INDEX(BF250:CC250,smp_act_horizon_n)+INDEX(BF251:CC251,smp_act_horizon_n)-INDEX(BF257:CC257,smp_act_horizon_n)-INDEX(BF258:CC258,smp_act_horizon_n)),(INDEX(CG250:DD250,smp_act_horizon_n)+INDEX(CG251:DD251,smp_act_horizon_n)-INDEX(CG257:DD257,smp_act_horizon_n)-INDEX(CG258:DD258,smp_act_horizon_n)))</f>
        <v>675104.02999999991</v>
      </c>
      <c r="AC131" s="70">
        <f>IF(smp_act_horizon_n&lt;24,"",CHOOSE(smp_act_scn_idx,(INDEX(AE250:BB250,24)+INDEX(AE251:BB251,24)-INDEX(AE257:BB257,24)-INDEX(AE258:BB258,24)),(INDEX(BF250:CC250,24)+INDEX(BF251:CC251,24)-INDEX(BF257:CC257,24)-INDEX(BF258:CC258,24)),(INDEX(CG250:DD250,24)+INDEX(CG251:DD251,24)-INDEX(CG257:DD257,24)-INDEX(CG258:DD258,24))))</f>
        <v>675104.02999999991</v>
      </c>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c r="DH131"/>
    </row>
    <row r="132" spans="1:112" ht="20" customHeight="1" x14ac:dyDescent="0.2">
      <c r="A132" s="1"/>
      <c r="B132" s="22" t="s">
        <v>70</v>
      </c>
      <c r="C132" s="69">
        <f>IF(1&gt;smp_act_horizon_n,"",CHOOSE(smp_act_scn_idx,(-AE223),(-BF223),(-CG223)))</f>
        <v>-7000</v>
      </c>
      <c r="D132" s="69">
        <f>IF(2&gt;smp_act_horizon_n,"",CHOOSE(smp_act_scn_idx,(-AF223),(-BG223),(-CH223)))</f>
        <v>-26125</v>
      </c>
      <c r="E132" s="69">
        <f>IF(3&gt;smp_act_horizon_n,"",CHOOSE(smp_act_scn_idx,(-AG223),(-BH223),(-CI223)))</f>
        <v>-29608.333333333372</v>
      </c>
      <c r="F132" s="69">
        <f>IF(4&gt;smp_act_horizon_n,"",CHOOSE(smp_act_scn_idx,(-AH223),(-BI223),(-CJ223)))</f>
        <v>-27866.666666666744</v>
      </c>
      <c r="G132" s="69">
        <f>IF(5&gt;smp_act_horizon_n,"",CHOOSE(smp_act_scn_idx,(-AI223),(-BJ223),(-CK223)))</f>
        <v>-26125</v>
      </c>
      <c r="H132" s="69">
        <f>IF(6&gt;smp_act_horizon_n,"",CHOOSE(smp_act_scn_idx,(-AJ223),(-BK223),(-CL223)))</f>
        <v>8708.3333333333721</v>
      </c>
      <c r="I132" s="69">
        <f>IF(7&gt;smp_act_horizon_n,"",CHOOSE(smp_act_scn_idx,(-AK223),(-BL223),(-CM223)))</f>
        <v>10450.000000000116</v>
      </c>
      <c r="J132" s="69">
        <f>IF(8&gt;smp_act_horizon_n,"",CHOOSE(smp_act_scn_idx,(-AL223),(-BM223),(-CN223)))</f>
        <v>0</v>
      </c>
      <c r="K132" s="69">
        <f>IF(9&gt;smp_act_horizon_n,"",CHOOSE(smp_act_scn_idx,(-AM223),(-BN223),(-CO223)))</f>
        <v>-27866.666666666861</v>
      </c>
      <c r="L132" s="69">
        <f>IF(10&gt;smp_act_horizon_n,"",CHOOSE(smp_act_scn_idx,(-AN223),(-BO223),(-CP223)))</f>
        <v>-26125</v>
      </c>
      <c r="M132" s="69">
        <f>IF(11&gt;smp_act_horizon_n,"",CHOOSE(smp_act_scn_idx,(-AO223),(-BP223),(-CQ223)))</f>
        <v>-19158.333333333256</v>
      </c>
      <c r="N132" s="69">
        <f>IF(12&gt;smp_act_horizon_n,"",CHOOSE(smp_act_scn_idx,(-AP223),(-BQ223),(-CR223)))</f>
        <v>-1741.6666666667443</v>
      </c>
      <c r="O132" s="69">
        <f>IF(13&gt;smp_act_horizon_n,"",CHOOSE(smp_act_scn_idx,(-AQ223),(-BR223),(-CS223)))</f>
        <v>-1741.6666666666279</v>
      </c>
      <c r="P132" s="69">
        <f>IF(14&gt;smp_act_horizon_n,"",CHOOSE(smp_act_scn_idx,(-AR223),(-BS223),(-CT223)))</f>
        <v>-24383.333333333256</v>
      </c>
      <c r="Q132" s="69">
        <f>IF(15&gt;smp_act_horizon_n,"",CHOOSE(smp_act_scn_idx,(-AS223),(-BT223),(-CU223)))</f>
        <v>-24383.333333333256</v>
      </c>
      <c r="R132" s="69">
        <f>IF(16&gt;smp_act_horizon_n,"",CHOOSE(smp_act_scn_idx,(-AT223),(-BU223),(-CV223)))</f>
        <v>-27866.666666666744</v>
      </c>
      <c r="S132" s="69">
        <f>IF(17&gt;smp_act_horizon_n,"",CHOOSE(smp_act_scn_idx,(-AU223),(-BV223),(-CW223)))</f>
        <v>-19158.333333333256</v>
      </c>
      <c r="T132" s="69">
        <f>IF(18&gt;smp_act_horizon_n,"",CHOOSE(smp_act_scn_idx,(-AV223),(-BW223),(-CX223)))</f>
        <v>1741.6666666666279</v>
      </c>
      <c r="U132" s="69">
        <f>IF(19&gt;smp_act_horizon_n,"",CHOOSE(smp_act_scn_idx,(-AW223),(-BX223),(-CY223)))</f>
        <v>10450</v>
      </c>
      <c r="V132" s="69">
        <f>IF(20&gt;smp_act_horizon_n,"",CHOOSE(smp_act_scn_idx,(-AX223),(-BY223),(-CZ223)))</f>
        <v>-1741.6666666666279</v>
      </c>
      <c r="W132" s="69">
        <f>IF(21&gt;smp_act_horizon_n,"",CHOOSE(smp_act_scn_idx,(-AY223),(-BZ223),(-DA223)))</f>
        <v>-17416.666666666744</v>
      </c>
      <c r="X132" s="69">
        <f>IF(22&gt;smp_act_horizon_n,"",CHOOSE(smp_act_scn_idx,(-AZ223),(-CA223),(-DB223)))</f>
        <v>-17416.666666666628</v>
      </c>
      <c r="Y132" s="69">
        <f>IF(23&gt;smp_act_horizon_n,"",CHOOSE(smp_act_scn_idx,(-BA223),(-CB223),(-DC223)))</f>
        <v>-8708.3333333333721</v>
      </c>
      <c r="Z132" s="69">
        <f>IF(24&gt;smp_act_horizon_n,"",CHOOSE(smp_act_scn_idx,(-BB223),(-CC223),(-DD223)))</f>
        <v>8708.3333333333721</v>
      </c>
      <c r="AA132" s="1"/>
      <c r="AB132" s="70">
        <f>CHOOSE(smp_act_scn_idx,(-BC223),(-CD223),(-DE223))</f>
        <v>-172458.33333333349</v>
      </c>
      <c r="AC132" s="70">
        <f>IF(smp_act_horizon_n&lt;24,"",CHOOSE(smp_act_scn_idx,(-BD223),(-CE223),(-DF223)))</f>
        <v>-121916.66666666651</v>
      </c>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c r="CS132" s="2"/>
      <c r="CT132" s="2"/>
      <c r="CU132" s="2"/>
      <c r="CV132" s="2"/>
      <c r="CW132" s="2"/>
      <c r="CX132" s="2"/>
      <c r="CY132" s="2"/>
      <c r="CZ132" s="2"/>
      <c r="DA132" s="2"/>
      <c r="DB132" s="2"/>
      <c r="DC132" s="2"/>
      <c r="DD132" s="2"/>
      <c r="DE132" s="2"/>
      <c r="DF132" s="2"/>
      <c r="DG132"/>
      <c r="DH132"/>
    </row>
    <row r="133" spans="1:112" ht="20" customHeight="1" x14ac:dyDescent="0.2">
      <c r="A133" s="1"/>
      <c r="B133" s="22" t="s">
        <v>71</v>
      </c>
      <c r="C133" s="69">
        <f>IF(1&gt;smp_act_horizon_n,"",CHOOSE(smp_act_scn_idx,AE226,BF226,CG226))</f>
        <v>-11821.829999999987</v>
      </c>
      <c r="D133" s="69">
        <f>IF(2&gt;smp_act_horizon_n,"",CHOOSE(smp_act_scn_idx,AF226,BG226,CH226))</f>
        <v>5918.2200000000012</v>
      </c>
      <c r="E133" s="69">
        <f>IF(3&gt;smp_act_horizon_n,"",CHOOSE(smp_act_scn_idx,AG226,BH226,CI226))</f>
        <v>6616.7640000000247</v>
      </c>
      <c r="F133" s="69">
        <f>IF(4&gt;smp_act_horizon_n,"",CHOOSE(smp_act_scn_idx,AH226,BI226,CJ226))</f>
        <v>6345.1079999999783</v>
      </c>
      <c r="G133" s="69">
        <f>IF(5&gt;smp_act_horizon_n,"",CHOOSE(smp_act_scn_idx,AI226,BJ226,CK226))</f>
        <v>6034.6440000000002</v>
      </c>
      <c r="H133" s="69">
        <f>IF(6&gt;smp_act_horizon_n,"",CHOOSE(smp_act_scn_idx,AJ226,BK226,CL226))</f>
        <v>-2735.9640000000072</v>
      </c>
      <c r="I133" s="69">
        <f>IF(7&gt;smp_act_horizon_n,"",CHOOSE(smp_act_scn_idx,AK226,BL226,CM226))</f>
        <v>-3046.4280000000144</v>
      </c>
      <c r="J133" s="69">
        <f>IF(8&gt;smp_act_horizon_n,"",CHOOSE(smp_act_scn_idx,AL226,BM226,CN226))</f>
        <v>-514.20599999997648</v>
      </c>
      <c r="K133" s="69">
        <f>IF(9&gt;smp_act_horizon_n,"",CHOOSE(smp_act_scn_idx,AM226,BN226,CO226))</f>
        <v>6345.1080000000075</v>
      </c>
      <c r="L133" s="69">
        <f>IF(10&gt;smp_act_horizon_n,"",CHOOSE(smp_act_scn_idx,AN226,BO226,CP226))</f>
        <v>5995.8359999999811</v>
      </c>
      <c r="M133" s="69">
        <f>IF(11&gt;smp_act_horizon_n,"",CHOOSE(smp_act_scn_idx,AO226,BP226,CQ226))</f>
        <v>4123.3500000000058</v>
      </c>
      <c r="N133" s="69">
        <f>IF(12&gt;smp_act_horizon_n,"",CHOOSE(smp_act_scn_idx,AP226,BQ226,CR226))</f>
        <v>-203.74199999999837</v>
      </c>
      <c r="O133" s="69">
        <f>IF(13&gt;smp_act_horizon_n,"",CHOOSE(smp_act_scn_idx,AQ226,BR226,CS226))</f>
        <v>717.94800000000396</v>
      </c>
      <c r="P133" s="69">
        <f>IF(14&gt;smp_act_horizon_n,"",CHOOSE(smp_act_scn_idx,AR226,BS226,CT226))</f>
        <v>5685.372000000003</v>
      </c>
      <c r="Q133" s="69">
        <f>IF(15&gt;smp_act_horizon_n,"",CHOOSE(smp_act_scn_idx,AS226,BT226,CU226))</f>
        <v>5685.372000000003</v>
      </c>
      <c r="R133" s="69">
        <f>IF(16&gt;smp_act_horizon_n,"",CHOOSE(smp_act_scn_idx,AT226,BU226,CV226))</f>
        <v>6345.1080000000075</v>
      </c>
      <c r="S133" s="69">
        <f>IF(17&gt;smp_act_horizon_n,"",CHOOSE(smp_act_scn_idx,AU226,BV226,CW226))</f>
        <v>4162.1579999999958</v>
      </c>
      <c r="T133" s="69">
        <f>IF(18&gt;smp_act_horizon_n,"",CHOOSE(smp_act_scn_idx,AV226,BW226,CX226))</f>
        <v>-863.47800000000279</v>
      </c>
      <c r="U133" s="69">
        <f>IF(19&gt;smp_act_horizon_n,"",CHOOSE(smp_act_scn_idx,AW226,BX226,CY226))</f>
        <v>-3046.4279999999853</v>
      </c>
      <c r="V133" s="69">
        <f>IF(20&gt;smp_act_horizon_n,"",CHOOSE(smp_act_scn_idx,AX226,BY226,CZ226))</f>
        <v>-203.74199999999837</v>
      </c>
      <c r="W133" s="69">
        <f>IF(21&gt;smp_act_horizon_n,"",CHOOSE(smp_act_scn_idx,AY226,BZ226,DA226))</f>
        <v>4365.8999999999942</v>
      </c>
      <c r="X133" s="69">
        <f>IF(22&gt;smp_act_horizon_n,"",CHOOSE(smp_act_scn_idx,AZ226,CA226,DB226))</f>
        <v>4365.9000000000233</v>
      </c>
      <c r="Y133" s="69">
        <f>IF(23&gt;smp_act_horizon_n,"",CHOOSE(smp_act_scn_idx,BA226,CB226,DC226))</f>
        <v>2182.9499999999825</v>
      </c>
      <c r="Z133" s="69">
        <f>IF(24&gt;smp_act_horizon_n,"",CHOOSE(smp_act_scn_idx,BB226,CC226,DD226))</f>
        <v>-2182.9499999999825</v>
      </c>
      <c r="AA133" s="1"/>
      <c r="AB133" s="70">
        <f>CHOOSE(smp_act_scn_idx,BC226,CD226,DE226)</f>
        <v>23056.860000000015</v>
      </c>
      <c r="AC133" s="70">
        <f>IF(smp_act_horizon_n&lt;24,"",CHOOSE(smp_act_scn_idx,BD226,CE226,DF226))</f>
        <v>27214.110000000044</v>
      </c>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c r="DH133"/>
    </row>
    <row r="134" spans="1:112" ht="20" customHeight="1" x14ac:dyDescent="0.2">
      <c r="A134" s="1"/>
      <c r="B134" s="22" t="s">
        <v>72</v>
      </c>
      <c r="C134" s="69">
        <f>IF(1&gt;smp_act_horizon_n,"",CHOOSE(smp_act_scn_idx,(-AE229+AE232+AE236),(-BF229+BF232+BF236),(-CG229+CG232+CG236)))</f>
        <v>12270.508333333331</v>
      </c>
      <c r="D134" s="69">
        <f>IF(2&gt;smp_act_horizon_n,"",CHOOSE(smp_act_scn_idx,(-AF229+AF232+AF236),(-BG229+BG232+BG236),(-CH229+CH232+CH236)))</f>
        <v>14766.314687500002</v>
      </c>
      <c r="E134" s="69">
        <f>IF(3&gt;smp_act_horizon_n,"",CHOOSE(smp_act_scn_idx,(-AG229+AG232+AG236),(-BH229+BH232+BH236),(-CI229+CI232+CI236)))</f>
        <v>17618.081041666657</v>
      </c>
      <c r="F134" s="69">
        <f>IF(4&gt;smp_act_horizon_n,"",CHOOSE(smp_act_scn_idx,(-AH229+AH232+AH236),(-BI229+BI232+BI236),(-CJ229+CJ232+CJ236)))</f>
        <v>-44933.257447916672</v>
      </c>
      <c r="G134" s="69">
        <f>IF(5&gt;smp_act_horizon_n,"",CHOOSE(smp_act_scn_idx,(-AI229+AI232+AI236),(-BJ229+BJ232+BJ236),(-CK229+CK232+CK236)))</f>
        <v>22733.773750000015</v>
      </c>
      <c r="H134" s="69">
        <f>IF(6&gt;smp_act_horizon_n,"",CHOOSE(smp_act_scn_idx,(-AJ229+AJ232+AJ236),(-BK229+BK232+BK236),(-CL229+CL232+CL236)))</f>
        <v>22133.520104166673</v>
      </c>
      <c r="I134" s="69">
        <f>IF(7&gt;smp_act_horizon_n,"",CHOOSE(smp_act_scn_idx,(-AK229+AK232+AK236),(-BL229+BL232+BL236),(-CM229+CM232+CM236)))</f>
        <v>21344.50645833333</v>
      </c>
      <c r="J134" s="69">
        <f>IF(8&gt;smp_act_horizon_n,"",CHOOSE(smp_act_scn_idx,(-AL229+AL232+AL236),(-BM229+BM232+BM236),(-CN229+CN232+CN236)))</f>
        <v>-43701.467031250017</v>
      </c>
      <c r="K134" s="69">
        <f>IF(9&gt;smp_act_horizon_n,"",CHOOSE(smp_act_scn_idx,(-AM229+AM232+AM236),(-BN229+BN232+BN236),(-CO229+CO232+CO236)))</f>
        <v>24154.32416666668</v>
      </c>
      <c r="L134" s="69">
        <f>IF(10&gt;smp_act_horizon_n,"",CHOOSE(smp_act_scn_idx,(-AN229+AN232+AN236),(-BO229+BO232+BO236),(-CP229+CP232+CP236)))</f>
        <v>-38574.994322916675</v>
      </c>
      <c r="M134" s="69">
        <f>IF(11&gt;smp_act_horizon_n,"",CHOOSE(smp_act_scn_idx,(-AO229+AO232+AO236),(-BP229+BP232+BP236),(-CQ229+CQ232+CQ236)))</f>
        <v>28522.951875000006</v>
      </c>
      <c r="N134" s="69">
        <f>IF(12&gt;smp_act_horizon_n,"",CHOOSE(smp_act_scn_idx,(-AP229+AP232+AP236),(-BQ229+BQ232+BQ236),(-CR229+CR232+CR236)))</f>
        <v>28869.303229166675</v>
      </c>
      <c r="O134" s="69">
        <f>IF(13&gt;smp_act_horizon_n,"",CHOOSE(smp_act_scn_idx,(-AQ229+AQ232+AQ236),(-BR229+BR232+BR236),(-CS229+CS232+CS236)))</f>
        <v>28959.629583333342</v>
      </c>
      <c r="P134" s="69">
        <f>IF(14&gt;smp_act_horizon_n,"",CHOOSE(smp_act_scn_idx,(-AR229+AR232+AR236),(-BS229+BS232+BS236),(-CT229+CT232+CT236)))</f>
        <v>31245.115937499984</v>
      </c>
      <c r="Q134" s="69">
        <f>IF(15&gt;smp_act_horizon_n,"",CHOOSE(smp_act_scn_idx,(-AS229+AS232+AS236),(-BT229+BT232+BT236),(-CU229+CU232+CU236)))</f>
        <v>33530.60229166667</v>
      </c>
      <c r="R134" s="69">
        <f>IF(16&gt;smp_act_horizon_n,"",CHOOSE(smp_act_scn_idx,(-AT229+AT232+AT236),(-BU229+BU232+BU236),(-CV229+CV232+CV236)))</f>
        <v>-74562.54869791666</v>
      </c>
      <c r="S134" s="69">
        <f>IF(17&gt;smp_act_horizon_n,"",CHOOSE(smp_act_scn_idx,(-AU229+AU232+AU236),(-BV229+BV232+BV236),(-CW229+CW232+CW236)))</f>
        <v>38066.430000000008</v>
      </c>
      <c r="T134" s="69">
        <f>IF(18&gt;smp_act_horizon_n,"",CHOOSE(smp_act_scn_idx,(-AV229+AV232+AV236),(-BW229+BW232+BW236),(-CX229+CX232+CX236)))</f>
        <v>38046.041354166664</v>
      </c>
      <c r="U134" s="69">
        <f>IF(19&gt;smp_act_horizon_n,"",CHOOSE(smp_act_scn_idx,(-AW229+AW232+AW236),(-BX229+BX232+BX236),(-CY229+CY232+CY236)))</f>
        <v>37257.027708333335</v>
      </c>
      <c r="V134" s="69">
        <f>IF(20&gt;smp_act_horizon_n,"",CHOOSE(smp_act_scn_idx,(-AX229+AX232+AX236),(-BY229+BY232+BY236),(-CZ229+CZ232+CZ236)))</f>
        <v>-73141.998281250009</v>
      </c>
      <c r="W134" s="69">
        <f>IF(21&gt;smp_act_horizon_n,"",CHOOSE(smp_act_scn_idx,(-AY229+AY232+AY236),(-BZ229+BZ232+BZ236),(-DA229+DA232+DA236)))</f>
        <v>39155.385416666657</v>
      </c>
      <c r="X134" s="69">
        <f>IF(22&gt;smp_act_horizon_n,"",CHOOSE(smp_act_scn_idx,(-AZ229+AZ232+AZ236),(-CA229+CA232+CA236),(-DB229+DB232+DB236)))</f>
        <v>-70037.985572916674</v>
      </c>
      <c r="Y134" s="69">
        <f>IF(23&gt;smp_act_horizon_n,"",CHOOSE(smp_act_scn_idx,(-BA229+BA232+BA236),(-CB229+CB232+CB236),(-DC229+DC232+DC236)))</f>
        <v>41490.773124999992</v>
      </c>
      <c r="Z134" s="69">
        <f>IF(24&gt;smp_act_horizon_n,"",CHOOSE(smp_act_scn_idx,(-BB229+BB232+BB236),(-CC229+CC232+CC236),(-DD229+DD232+DD236)))</f>
        <v>40736.904479166667</v>
      </c>
      <c r="AA134" s="1"/>
      <c r="AB134" s="70">
        <f>CHOOSE(smp_act_scn_idx,(-BC229+BC232+BC236),(-CD229+CD232+CD236),(-DE229+DE232+DE236))</f>
        <v>65203.564843750006</v>
      </c>
      <c r="AC134" s="70">
        <f>IF(smp_act_horizon_n&lt;24,"",CHOOSE(smp_act_scn_idx,(-BD229+BD232+BD236),(-CE229+CE232+CE236),(-DF229+DF232+DF236)))</f>
        <v>110745.37734374998</v>
      </c>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c r="CS134" s="2"/>
      <c r="CT134" s="2"/>
      <c r="CU134" s="2"/>
      <c r="CV134" s="2"/>
      <c r="CW134" s="2"/>
      <c r="CX134" s="2"/>
      <c r="CY134" s="2"/>
      <c r="CZ134" s="2"/>
      <c r="DA134" s="2"/>
      <c r="DB134" s="2"/>
      <c r="DC134" s="2"/>
      <c r="DD134" s="2"/>
      <c r="DE134" s="2"/>
      <c r="DF134" s="2"/>
      <c r="DG134"/>
      <c r="DH134"/>
    </row>
    <row r="135" spans="1:112" ht="20" customHeight="1" x14ac:dyDescent="0.2">
      <c r="A135" s="1"/>
      <c r="B135" s="66" t="s">
        <v>73</v>
      </c>
      <c r="C135" s="71">
        <f>IF(1&gt;smp_act_horizon_n,"",CHOOSE(smp_act_scn_idx,AE237,BF237,CG237))</f>
        <v>-6551.3216666666558</v>
      </c>
      <c r="D135" s="71">
        <f>IF(2&gt;smp_act_horizon_n,"",CHOOSE(smp_act_scn_idx,AF237,BG237,CH237))</f>
        <v>-5440.4653124999968</v>
      </c>
      <c r="E135" s="71">
        <f>IF(3&gt;smp_act_horizon_n,"",CHOOSE(smp_act_scn_idx,AG237,BH237,CI237))</f>
        <v>-5373.4882916666902</v>
      </c>
      <c r="F135" s="71">
        <f>IF(4&gt;smp_act_horizon_n,"",CHOOSE(smp_act_scn_idx,AH237,BI237,CJ237))</f>
        <v>-66454.816114583431</v>
      </c>
      <c r="G135" s="71">
        <f>IF(5&gt;smp_act_horizon_n,"",CHOOSE(smp_act_scn_idx,AI237,BJ237,CK237))</f>
        <v>2643.4177500000151</v>
      </c>
      <c r="H135" s="71">
        <f>IF(6&gt;smp_act_horizon_n,"",CHOOSE(smp_act_scn_idx,AJ237,BK237,CL237))</f>
        <v>28105.889437500038</v>
      </c>
      <c r="I135" s="71">
        <f>IF(7&gt;smp_act_horizon_n,"",CHOOSE(smp_act_scn_idx,AK237,BL237,CM237))</f>
        <v>28748.078458333432</v>
      </c>
      <c r="J135" s="71">
        <f>IF(8&gt;smp_act_horizon_n,"",CHOOSE(smp_act_scn_idx,AL237,BM237,CN237))</f>
        <v>-44215.673031249993</v>
      </c>
      <c r="K135" s="71">
        <f>IF(9&gt;smp_act_horizon_n,"",CHOOSE(smp_act_scn_idx,AM237,BN237,CO237))</f>
        <v>2632.7654999998267</v>
      </c>
      <c r="L135" s="71">
        <f>IF(10&gt;smp_act_horizon_n,"",CHOOSE(smp_act_scn_idx,AN237,BO237,CP237))</f>
        <v>-58704.158322916694</v>
      </c>
      <c r="M135" s="71">
        <f>IF(11&gt;smp_act_horizon_n,"",CHOOSE(smp_act_scn_idx,AO237,BP237,CQ237))</f>
        <v>13487.968541666756</v>
      </c>
      <c r="N135" s="71">
        <f>IF(12&gt;smp_act_horizon_n,"",CHOOSE(smp_act_scn_idx,AP237,BQ237,CR237))</f>
        <v>26923.894562499932</v>
      </c>
      <c r="O135" s="71">
        <f>IF(13&gt;smp_act_horizon_n,"",CHOOSE(smp_act_scn_idx,AQ237,BR237,CS237))</f>
        <v>27935.910916666719</v>
      </c>
      <c r="P135" s="71">
        <f>IF(14&gt;smp_act_horizon_n,"",CHOOSE(smp_act_scn_idx,AR237,BS237,CT237))</f>
        <v>12547.154604166732</v>
      </c>
      <c r="Q135" s="71">
        <f>IF(15&gt;smp_act_horizon_n,"",CHOOSE(smp_act_scn_idx,AS237,BT237,CU237))</f>
        <v>14832.640958333417</v>
      </c>
      <c r="R135" s="71">
        <f>IF(16&gt;smp_act_horizon_n,"",CHOOSE(smp_act_scn_idx,AT237,BU237,CV237))</f>
        <v>-96084.107364583397</v>
      </c>
      <c r="S135" s="71">
        <f>IF(17&gt;smp_act_horizon_n,"",CHOOSE(smp_act_scn_idx,AU237,BV237,CW237))</f>
        <v>23070.254666666748</v>
      </c>
      <c r="T135" s="71">
        <f>IF(18&gt;smp_act_horizon_n,"",CHOOSE(smp_act_scn_idx,AV237,BW237,CX237))</f>
        <v>38924.230020833289</v>
      </c>
      <c r="U135" s="71">
        <f>IF(19&gt;smp_act_horizon_n,"",CHOOSE(smp_act_scn_idx,AW237,BX237,CY237))</f>
        <v>44660.59970833335</v>
      </c>
      <c r="V135" s="71">
        <f>IF(20&gt;smp_act_horizon_n,"",CHOOSE(smp_act_scn_idx,AX237,BY237,CZ237))</f>
        <v>-75087.406947916636</v>
      </c>
      <c r="W135" s="71">
        <f>IF(21&gt;smp_act_horizon_n,"",CHOOSE(smp_act_scn_idx,AY237,BZ237,DA237))</f>
        <v>26104.618749999907</v>
      </c>
      <c r="X135" s="71">
        <f>IF(22&gt;smp_act_horizon_n,"",CHOOSE(smp_act_scn_idx,AZ237,CA237,DB237))</f>
        <v>-83088.752239583278</v>
      </c>
      <c r="Y135" s="71">
        <f>IF(23&gt;smp_act_horizon_n,"",CHOOSE(smp_act_scn_idx,BA237,CB237,DC237))</f>
        <v>34965.389791666603</v>
      </c>
      <c r="Z135" s="71">
        <f>IF(24&gt;smp_act_horizon_n,"",CHOOSE(smp_act_scn_idx,BB237,CC237,DD237))</f>
        <v>47262.287812500057</v>
      </c>
      <c r="AA135" s="1"/>
      <c r="AB135" s="72">
        <f>CHOOSE(smp_act_scn_idx,BC237,CD237,DE237)</f>
        <v>-84197.908489583453</v>
      </c>
      <c r="AC135" s="72">
        <f>IF(smp_act_horizon_n&lt;24,"",CHOOSE(smp_act_scn_idx,BD237,CE237,DF237))</f>
        <v>16042.82067708351</v>
      </c>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c r="CS135" s="2"/>
      <c r="CT135" s="2"/>
      <c r="CU135" s="2"/>
      <c r="CV135" s="2"/>
      <c r="CW135" s="2"/>
      <c r="CX135" s="2"/>
      <c r="CY135" s="2"/>
      <c r="CZ135" s="2"/>
      <c r="DA135" s="2"/>
      <c r="DB135" s="2"/>
      <c r="DC135" s="2"/>
      <c r="DD135" s="2"/>
      <c r="DE135" s="2"/>
      <c r="DF135" s="2"/>
      <c r="DG135"/>
      <c r="DH135"/>
    </row>
    <row r="136" spans="1:112" x14ac:dyDescent="0.2">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c r="CS136" s="2"/>
      <c r="CT136" s="2"/>
      <c r="CU136" s="2"/>
      <c r="CV136" s="2"/>
      <c r="CW136" s="2"/>
      <c r="CX136" s="2"/>
      <c r="CY136" s="2"/>
      <c r="CZ136" s="2"/>
      <c r="DA136" s="2"/>
      <c r="DB136" s="2"/>
      <c r="DC136" s="2"/>
      <c r="DD136" s="2"/>
      <c r="DE136" s="2"/>
      <c r="DF136" s="2"/>
      <c r="DG136"/>
      <c r="DH136"/>
    </row>
    <row r="137" spans="1:112" ht="22" customHeight="1" x14ac:dyDescent="0.2">
      <c r="A137" s="1"/>
      <c r="B137" s="57" t="s">
        <v>74</v>
      </c>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c r="AA137" s="20"/>
      <c r="AB137" s="20"/>
      <c r="AC137" s="21" t="s">
        <v>75</v>
      </c>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c r="CS137" s="2"/>
      <c r="CT137" s="2"/>
      <c r="CU137" s="2"/>
      <c r="CV137" s="2"/>
      <c r="CW137" s="2"/>
      <c r="CX137" s="2"/>
      <c r="CY137" s="2"/>
      <c r="CZ137" s="2"/>
      <c r="DA137" s="2"/>
      <c r="DB137" s="2"/>
      <c r="DC137" s="2"/>
      <c r="DD137" s="2"/>
      <c r="DE137" s="2"/>
      <c r="DF137" s="2"/>
      <c r="DG137"/>
      <c r="DH137"/>
    </row>
    <row r="138" spans="1:112" ht="22" customHeight="1" x14ac:dyDescent="0.2">
      <c r="A138" s="1"/>
      <c r="B138" s="27"/>
      <c r="C138" s="28" t="s">
        <v>44</v>
      </c>
      <c r="D138" s="28" t="s">
        <v>45</v>
      </c>
      <c r="E138" s="28" t="s">
        <v>46</v>
      </c>
      <c r="F138" s="28" t="s">
        <v>47</v>
      </c>
      <c r="G138" s="28" t="s">
        <v>48</v>
      </c>
      <c r="H138" s="28" t="s">
        <v>49</v>
      </c>
      <c r="I138" s="28" t="s">
        <v>50</v>
      </c>
      <c r="J138" s="28" t="s">
        <v>51</v>
      </c>
      <c r="K138" s="28" t="s">
        <v>52</v>
      </c>
      <c r="L138" s="28" t="s">
        <v>53</v>
      </c>
      <c r="M138" s="28" t="s">
        <v>54</v>
      </c>
      <c r="N138" s="28" t="s">
        <v>55</v>
      </c>
      <c r="O138" s="28" t="s">
        <v>56</v>
      </c>
      <c r="P138" s="28" t="s">
        <v>57</v>
      </c>
      <c r="Q138" s="28" t="s">
        <v>58</v>
      </c>
      <c r="R138" s="28" t="s">
        <v>59</v>
      </c>
      <c r="S138" s="28" t="s">
        <v>60</v>
      </c>
      <c r="T138" s="28" t="s">
        <v>61</v>
      </c>
      <c r="U138" s="28" t="s">
        <v>62</v>
      </c>
      <c r="V138" s="28" t="s">
        <v>63</v>
      </c>
      <c r="W138" s="28" t="s">
        <v>64</v>
      </c>
      <c r="X138" s="28" t="s">
        <v>65</v>
      </c>
      <c r="Y138" s="28" t="s">
        <v>66</v>
      </c>
      <c r="Z138" s="28" t="s">
        <v>67</v>
      </c>
      <c r="AA138" s="1"/>
      <c r="AB138" s="28" t="s">
        <v>76</v>
      </c>
      <c r="AC138" s="28" t="s">
        <v>77</v>
      </c>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c r="CS138" s="2"/>
      <c r="CT138" s="2"/>
      <c r="CU138" s="2"/>
      <c r="CV138" s="2"/>
      <c r="CW138" s="2"/>
      <c r="CX138" s="2"/>
      <c r="CY138" s="2"/>
      <c r="CZ138" s="2"/>
      <c r="DA138" s="2"/>
      <c r="DB138" s="2"/>
      <c r="DC138" s="2"/>
      <c r="DD138" s="2"/>
      <c r="DE138" s="2"/>
      <c r="DF138" s="2"/>
      <c r="DG138"/>
      <c r="DH138"/>
    </row>
    <row r="139" spans="1:112" ht="20" customHeight="1" x14ac:dyDescent="0.2">
      <c r="A139" s="1"/>
      <c r="B139" s="30" t="s">
        <v>78</v>
      </c>
      <c r="C139" s="69">
        <f>IF(1&gt;smp_act_horizon_n,"",CHOOSE(smp_act_scn_idx,AE211,BF211,CG211))</f>
        <v>54207.033333333326</v>
      </c>
      <c r="D139" s="69">
        <f>IF(2&gt;smp_act_horizon_n,"",CHOOSE(smp_act_scn_idx,AF211,BG211,CH211))</f>
        <v>64131.233333333337</v>
      </c>
      <c r="E139" s="69">
        <f>IF(3&gt;smp_act_horizon_n,"",CHOOSE(smp_act_scn_idx,AG211,BH211,CI211))</f>
        <v>75479.273333333316</v>
      </c>
      <c r="F139" s="69">
        <f>IF(4&gt;smp_act_horizon_n,"",CHOOSE(smp_act_scn_idx,AH211,BI211,CJ211))</f>
        <v>86029.153333333379</v>
      </c>
      <c r="G139" s="69">
        <f>IF(5&gt;smp_act_horizon_n,"",CHOOSE(smp_act_scn_idx,AI211,BJ211,CK211))</f>
        <v>95823.993333333376</v>
      </c>
      <c r="H139" s="69">
        <f>IF(6&gt;smp_act_horizon_n,"",CHOOSE(smp_act_scn_idx,AJ211,BK211,CL211))</f>
        <v>93363.953333333367</v>
      </c>
      <c r="I139" s="69">
        <f>IF(7&gt;smp_act_horizon_n,"",CHOOSE(smp_act_scn_idx,AK211,BL211,CM211))</f>
        <v>90148.873333333351</v>
      </c>
      <c r="J139" s="69">
        <f>IF(8&gt;smp_act_horizon_n,"",CHOOSE(smp_act_scn_idx,AL211,BM211,CN211))</f>
        <v>90720.213333333319</v>
      </c>
      <c r="K139" s="69">
        <f>IF(9&gt;smp_act_horizon_n,"",CHOOSE(smp_act_scn_idx,AM211,BN211,CO211))</f>
        <v>101270.09333333338</v>
      </c>
      <c r="L139" s="69">
        <f>IF(10&gt;smp_act_horizon_n,"",CHOOSE(smp_act_scn_idx,AN211,BO211,CP211))</f>
        <v>111108.05333333337</v>
      </c>
      <c r="M139" s="69">
        <f>IF(11&gt;smp_act_horizon_n,"",CHOOSE(smp_act_scn_idx,AO211,BP211,CQ211))</f>
        <v>118626.55333333337</v>
      </c>
      <c r="N139" s="69">
        <f>IF(12&gt;smp_act_horizon_n,"",CHOOSE(smp_act_scn_idx,AP211,BQ211,CR211))</f>
        <v>119952.93333333338</v>
      </c>
      <c r="O139" s="69">
        <f>IF(13&gt;smp_act_horizon_n,"",CHOOSE(smp_act_scn_idx,AQ211,BR211,CS211))</f>
        <v>120255.21333333338</v>
      </c>
      <c r="P139" s="69">
        <f>IF(14&gt;smp_act_horizon_n,"",CHOOSE(smp_act_scn_idx,AR211,BS211,CT211))</f>
        <v>129338.13333333333</v>
      </c>
      <c r="Q139" s="69">
        <f>IF(15&gt;smp_act_horizon_n,"",CHOOSE(smp_act_scn_idx,AS211,BT211,CU211))</f>
        <v>138421.05333333332</v>
      </c>
      <c r="R139" s="69">
        <f>IF(16&gt;smp_act_horizon_n,"",CHOOSE(smp_act_scn_idx,AT211,BU211,CV211))</f>
        <v>148970.93333333332</v>
      </c>
      <c r="S139" s="69">
        <f>IF(17&gt;smp_act_horizon_n,"",CHOOSE(smp_act_scn_idx,AU211,BV211,CW211))</f>
        <v>156446.31333333332</v>
      </c>
      <c r="T139" s="69">
        <f>IF(18&gt;smp_act_horizon_n,"",CHOOSE(smp_act_scn_idx,AV211,BW211,CX211))</f>
        <v>156305.73333333331</v>
      </c>
      <c r="U139" s="69">
        <f>IF(19&gt;smp_act_horizon_n,"",CHOOSE(smp_act_scn_idx,AW211,BX211,CY211))</f>
        <v>153090.65333333329</v>
      </c>
      <c r="V139" s="69">
        <f>IF(20&gt;smp_act_horizon_n,"",CHOOSE(smp_act_scn_idx,AX211,BY211,CZ211))</f>
        <v>154417.0333333333</v>
      </c>
      <c r="W139" s="69">
        <f>IF(21&gt;smp_act_horizon_n,"",CHOOSE(smp_act_scn_idx,AY211,BZ211,DA211))</f>
        <v>160566.0333333333</v>
      </c>
      <c r="X139" s="69">
        <f>IF(22&gt;smp_act_horizon_n,"",CHOOSE(smp_act_scn_idx,AZ211,CA211,DB211))</f>
        <v>166715.0333333333</v>
      </c>
      <c r="Y139" s="69">
        <f>IF(23&gt;smp_act_horizon_n,"",CHOOSE(smp_act_scn_idx,BA211,CB211,DC211))</f>
        <v>169789.5333333333</v>
      </c>
      <c r="Z139" s="69">
        <f>IF(24&gt;smp_act_horizon_n,"",CHOOSE(smp_act_scn_idx,BB211,CC211,DD211))</f>
        <v>166715.0333333333</v>
      </c>
      <c r="AA139" s="1"/>
      <c r="AB139" s="70">
        <f>CHOOSE(smp_act_scn_idx,BC211,CD211,DE211)</f>
        <v>1100861.3600000003</v>
      </c>
      <c r="AC139" s="70">
        <f>IF(smp_act_horizon_n&lt;24,"",CHOOSE(smp_act_scn_idx,BD211,CE211,DF211))</f>
        <v>1821030.6999999995</v>
      </c>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c r="CS139" s="2"/>
      <c r="CT139" s="2"/>
      <c r="CU139" s="2"/>
      <c r="CV139" s="2"/>
      <c r="CW139" s="2"/>
      <c r="CX139" s="2"/>
      <c r="CY139" s="2"/>
      <c r="CZ139" s="2"/>
      <c r="DA139" s="2"/>
      <c r="DB139" s="2"/>
      <c r="DC139" s="2"/>
      <c r="DD139" s="2"/>
      <c r="DE139" s="2"/>
      <c r="DF139" s="2"/>
      <c r="DG139"/>
      <c r="DH139"/>
    </row>
    <row r="140" spans="1:112" ht="20" customHeight="1" x14ac:dyDescent="0.2">
      <c r="A140" s="1"/>
      <c r="B140" s="22" t="s">
        <v>79</v>
      </c>
      <c r="C140" s="69">
        <f>IF(1&gt;smp_act_horizon_n,"",CHOOSE(smp_act_scn_idx,AE279,BF279,CG279))</f>
        <v>10458</v>
      </c>
      <c r="D140" s="69">
        <f>IF(2&gt;smp_act_horizon_n,"",CHOOSE(smp_act_scn_idx,AF279,BG279,CH279))</f>
        <v>10398.974583333333</v>
      </c>
      <c r="E140" s="69">
        <f>IF(3&gt;smp_act_horizon_n,"",CHOOSE(smp_act_scn_idx,AG279,BH279,CI279))</f>
        <v>10339.949166666667</v>
      </c>
      <c r="F140" s="69">
        <f>IF(4&gt;smp_act_horizon_n,"",CHOOSE(smp_act_scn_idx,AH279,BI279,CJ279))</f>
        <v>10280.92375</v>
      </c>
      <c r="G140" s="69">
        <f>IF(5&gt;smp_act_horizon_n,"",CHOOSE(smp_act_scn_idx,AI279,BJ279,CK279))</f>
        <v>10221.898333333334</v>
      </c>
      <c r="H140" s="69">
        <f>IF(6&gt;smp_act_horizon_n,"",CHOOSE(smp_act_scn_idx,AJ279,BK279,CL279))</f>
        <v>10162.872916666667</v>
      </c>
      <c r="I140" s="69">
        <f>IF(7&gt;smp_act_horizon_n,"",CHOOSE(smp_act_scn_idx,AK279,BL279,CM279))</f>
        <v>10103.8475</v>
      </c>
      <c r="J140" s="69">
        <f>IF(8&gt;smp_act_horizon_n,"",CHOOSE(smp_act_scn_idx,AL279,BM279,CN279))</f>
        <v>10044.822083333333</v>
      </c>
      <c r="K140" s="69">
        <f>IF(9&gt;smp_act_horizon_n,"",CHOOSE(smp_act_scn_idx,AM279,BN279,CO279))</f>
        <v>9985.7966666666671</v>
      </c>
      <c r="L140" s="69">
        <f>IF(10&gt;smp_act_horizon_n,"",CHOOSE(smp_act_scn_idx,AN279,BO279,CP279))</f>
        <v>9926.7712499999998</v>
      </c>
      <c r="M140" s="69">
        <f>IF(11&gt;smp_act_horizon_n,"",CHOOSE(smp_act_scn_idx,AO279,BP279,CQ279))</f>
        <v>9867.7458333333343</v>
      </c>
      <c r="N140" s="69">
        <f>IF(12&gt;smp_act_horizon_n,"",CHOOSE(smp_act_scn_idx,AP279,BQ279,CR279))</f>
        <v>9808.720416666667</v>
      </c>
      <c r="O140" s="69">
        <f>IF(13&gt;smp_act_horizon_n,"",CHOOSE(smp_act_scn_idx,AQ279,BR279,CS279))</f>
        <v>9749.6949999999997</v>
      </c>
      <c r="P140" s="69">
        <f>IF(14&gt;smp_act_horizon_n,"",CHOOSE(smp_act_scn_idx,AR279,BS279,CT279))</f>
        <v>9690.6695833333342</v>
      </c>
      <c r="Q140" s="69">
        <f>IF(15&gt;smp_act_horizon_n,"",CHOOSE(smp_act_scn_idx,AS279,BT279,CU279))</f>
        <v>9631.6441666666669</v>
      </c>
      <c r="R140" s="69">
        <f>IF(16&gt;smp_act_horizon_n,"",CHOOSE(smp_act_scn_idx,AT279,BU279,CV279))</f>
        <v>9572.6187499999996</v>
      </c>
      <c r="S140" s="69">
        <f>IF(17&gt;smp_act_horizon_n,"",CHOOSE(smp_act_scn_idx,AU279,BV279,CW279))</f>
        <v>9513.5933333333342</v>
      </c>
      <c r="T140" s="69">
        <f>IF(18&gt;smp_act_horizon_n,"",CHOOSE(smp_act_scn_idx,AV279,BW279,CX279))</f>
        <v>9454.5679166666669</v>
      </c>
      <c r="U140" s="69">
        <f>IF(19&gt;smp_act_horizon_n,"",CHOOSE(smp_act_scn_idx,AW279,BX279,CY279))</f>
        <v>9395.5424999999996</v>
      </c>
      <c r="V140" s="69">
        <f>IF(20&gt;smp_act_horizon_n,"",CHOOSE(smp_act_scn_idx,AX279,BY279,CZ279))</f>
        <v>9336.5170833333341</v>
      </c>
      <c r="W140" s="69">
        <f>IF(21&gt;smp_act_horizon_n,"",CHOOSE(smp_act_scn_idx,AY279,BZ279,DA279))</f>
        <v>9277.4916666666668</v>
      </c>
      <c r="X140" s="69">
        <f>IF(22&gt;smp_act_horizon_n,"",CHOOSE(smp_act_scn_idx,AZ279,CA279,DB279))</f>
        <v>9218.4662499999995</v>
      </c>
      <c r="Y140" s="69">
        <f>IF(23&gt;smp_act_horizon_n,"",CHOOSE(smp_act_scn_idx,BA279,CB279,DC279))</f>
        <v>9159.440833333334</v>
      </c>
      <c r="Z140" s="69">
        <f>IF(24&gt;smp_act_horizon_n,"",CHOOSE(smp_act_scn_idx,BB279,CC279,DD279))</f>
        <v>9100.4154166666667</v>
      </c>
      <c r="AA140" s="1"/>
      <c r="AB140" s="70">
        <f>CHOOSE(smp_act_scn_idx,BC279,CD279,DE279)</f>
        <v>121600.32249999999</v>
      </c>
      <c r="AC140" s="70">
        <f>IF(smp_act_horizon_n&lt;24,"",CHOOSE(smp_act_scn_idx,BD279,CE279,DF279))</f>
        <v>113100.66250000002</v>
      </c>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c r="CS140" s="2"/>
      <c r="CT140" s="2"/>
      <c r="CU140" s="2"/>
      <c r="CV140" s="2"/>
      <c r="CW140" s="2"/>
      <c r="CX140" s="2"/>
      <c r="CY140" s="2"/>
      <c r="CZ140" s="2"/>
      <c r="DA140" s="2"/>
      <c r="DB140" s="2"/>
      <c r="DC140" s="2"/>
      <c r="DD140" s="2"/>
      <c r="DE140" s="2"/>
      <c r="DF140" s="2"/>
      <c r="DG140"/>
      <c r="DH140"/>
    </row>
    <row r="141" spans="1:112" ht="20" customHeight="1" x14ac:dyDescent="0.2">
      <c r="A141" s="1"/>
      <c r="B141" s="30" t="s">
        <v>80</v>
      </c>
      <c r="C141" s="73">
        <f>IF(1&gt;smp_act_horizon_n,"",CHOOSE(smp_act_scn_idx,AE280,BF280,CG280))</f>
        <v>5.1833078345126529</v>
      </c>
      <c r="D141" s="73">
        <f>IF(2&gt;smp_act_horizon_n,"",CHOOSE(smp_act_scn_idx,AF280,BG280,CH280))</f>
        <v>6.1670728031317514</v>
      </c>
      <c r="E141" s="73">
        <f>IF(3&gt;smp_act_horizon_n,"",CHOOSE(smp_act_scn_idx,AG280,BH280,CI280))</f>
        <v>7.299772186178541</v>
      </c>
      <c r="F141" s="73">
        <f>IF(4&gt;smp_act_horizon_n,"",CHOOSE(smp_act_scn_idx,AH280,BI280,CJ280))</f>
        <v>8.3678427566718785</v>
      </c>
      <c r="G141" s="73">
        <f>IF(5&gt;smp_act_horizon_n,"",CHOOSE(smp_act_scn_idx,AI280,BJ280,CK280))</f>
        <v>9.3743833296457204</v>
      </c>
      <c r="H141" s="73">
        <f>IF(6&gt;smp_act_horizon_n,"",CHOOSE(smp_act_scn_idx,AJ280,BK280,CL280))</f>
        <v>9.186767767234457</v>
      </c>
      <c r="I141" s="73">
        <f>IF(7&gt;smp_act_horizon_n,"",CHOOSE(smp_act_scn_idx,AK280,BL280,CM280))</f>
        <v>8.9222321826743087</v>
      </c>
      <c r="J141" s="73">
        <f>IF(8&gt;smp_act_horizon_n,"",CHOOSE(smp_act_scn_idx,AL280,BM280,CN280))</f>
        <v>9.0315400890832098</v>
      </c>
      <c r="K141" s="73">
        <f>IF(9&gt;smp_act_horizon_n,"",CHOOSE(smp_act_scn_idx,AM280,BN280,CO280))</f>
        <v>10.141413521004338</v>
      </c>
      <c r="L141" s="73">
        <f>IF(10&gt;smp_act_horizon_n,"",CHOOSE(smp_act_scn_idx,AN280,BO280,CP280))</f>
        <v>11.192768578537898</v>
      </c>
      <c r="M141" s="73">
        <f>IF(11&gt;smp_act_horizon_n,"",CHOOSE(smp_act_scn_idx,AO280,BP280,CQ280))</f>
        <v>12.021646618887548</v>
      </c>
      <c r="N141" s="73">
        <f>IF(12&gt;smp_act_horizon_n,"",CHOOSE(smp_act_scn_idx,AP280,BQ280,CR280))</f>
        <v>12.229213214142913</v>
      </c>
      <c r="O141" s="73">
        <f>IF(13&gt;smp_act_horizon_n,"",CHOOSE(smp_act_scn_idx,AQ280,BR280,CS280))</f>
        <v>12.334253874950281</v>
      </c>
      <c r="P141" s="73">
        <f>IF(14&gt;smp_act_horizon_n,"",CHOOSE(smp_act_scn_idx,AR280,BS280,CT280))</f>
        <v>13.346666318680162</v>
      </c>
      <c r="Q141" s="73">
        <f>IF(15&gt;smp_act_horizon_n,"",CHOOSE(smp_act_scn_idx,AS280,BT280,CU280))</f>
        <v>14.371487457186479</v>
      </c>
      <c r="R141" s="73">
        <f>IF(16&gt;smp_act_horizon_n,"",CHOOSE(smp_act_scn_idx,AT280,BU280,CV280))</f>
        <v>15.562192251031968</v>
      </c>
      <c r="S141" s="73">
        <f>IF(17&gt;smp_act_horizon_n,"",CHOOSE(smp_act_scn_idx,AU280,BV280,CW280))</f>
        <v>16.444502918280438</v>
      </c>
      <c r="T141" s="73">
        <f>IF(18&gt;smp_act_horizon_n,"",CHOOSE(smp_act_scn_idx,AV280,BW280,CX280))</f>
        <v>16.532297902032624</v>
      </c>
      <c r="U141" s="73">
        <f>IF(19&gt;smp_act_horizon_n,"",CHOOSE(smp_act_scn_idx,AW280,BX280,CY280))</f>
        <v>16.293966349823151</v>
      </c>
      <c r="V141" s="73">
        <f>IF(20&gt;smp_act_horizon_n,"",CHOOSE(smp_act_scn_idx,AX280,BY280,CZ280))</f>
        <v>16.539040410367154</v>
      </c>
      <c r="W141" s="73">
        <f>IF(21&gt;smp_act_horizon_n,"",CHOOSE(smp_act_scn_idx,AY280,BZ280,DA280))</f>
        <v>17.307052283348852</v>
      </c>
      <c r="X141" s="73">
        <f>IF(22&gt;smp_act_horizon_n,"",CHOOSE(smp_act_scn_idx,AZ280,CA280,DB280))</f>
        <v>18.08489924593837</v>
      </c>
      <c r="Y141" s="73">
        <f>IF(23&gt;smp_act_horizon_n,"",CHOOSE(smp_act_scn_idx,BA280,CB280,DC280))</f>
        <v>18.537106841220016</v>
      </c>
      <c r="Z141" s="73">
        <f>IF(24&gt;smp_act_horizon_n,"",CHOOSE(smp_act_scn_idx,BB280,CC280,DD280))</f>
        <v>18.319497044938007</v>
      </c>
      <c r="AA141" s="1"/>
      <c r="AB141" s="74">
        <f>CHOOSE(smp_act_scn_idx,BC280,CD280,DE280)</f>
        <v>9.0531121741062854</v>
      </c>
      <c r="AC141" s="74">
        <f>IF(smp_act_horizon_n&lt;24,"",CHOOSE(smp_act_scn_idx,BD280,CE280,DF280))</f>
        <v>16.100972883337434</v>
      </c>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c r="CS141" s="2"/>
      <c r="CT141" s="2"/>
      <c r="CU141" s="2"/>
      <c r="CV141" s="2"/>
      <c r="CW141" s="2"/>
      <c r="CX141" s="2"/>
      <c r="CY141" s="2"/>
      <c r="CZ141" s="2"/>
      <c r="DA141" s="2"/>
      <c r="DB141" s="2"/>
      <c r="DC141" s="2"/>
      <c r="DD141" s="2"/>
      <c r="DE141" s="2"/>
      <c r="DF141" s="2"/>
      <c r="DG141"/>
      <c r="DH141"/>
    </row>
    <row r="142" spans="1:112" ht="20" customHeight="1" x14ac:dyDescent="0.2">
      <c r="A142" s="1"/>
      <c r="B142" s="22" t="s">
        <v>401</v>
      </c>
      <c r="C142" s="73">
        <f>IF(1&gt;smp_act_horizon_n,"",CHOOSE(smp_act_scn_idx,AE282,BF282,CG282))</f>
        <v>0.448384311752903</v>
      </c>
      <c r="D142" s="73">
        <f>IF(2&gt;smp_act_horizon_n,"",CHOOSE(smp_act_scn_idx,AF282,BG282,CH282))</f>
        <v>0.39904533557474225</v>
      </c>
      <c r="E142" s="73">
        <f>IF(3&gt;smp_act_horizon_n,"",CHOOSE(smp_act_scn_idx,AG282,BH282,CI282))</f>
        <v>0.35471634816952075</v>
      </c>
      <c r="F142" s="73">
        <f>IF(4&gt;smp_act_horizon_n,"",CHOOSE(smp_act_scn_idx,AH282,BI282,CJ282))</f>
        <v>0.31763581793498169</v>
      </c>
      <c r="G142" s="73">
        <f>IF(5&gt;smp_act_horizon_n,"",CHOOSE(smp_act_scn_idx,AI282,BJ282,CK282))</f>
        <v>0.28652643699305214</v>
      </c>
      <c r="H142" s="73">
        <f>IF(6&gt;smp_act_horizon_n,"",CHOOSE(smp_act_scn_idx,AJ282,BK282,CL282))</f>
        <v>0.26650696844053984</v>
      </c>
      <c r="I142" s="73">
        <f>IF(7&gt;smp_act_horizon_n,"",CHOOSE(smp_act_scn_idx,AK282,BL282,CM282))</f>
        <v>0.25210611538416</v>
      </c>
      <c r="J142" s="73">
        <f>IF(8&gt;smp_act_horizon_n,"",CHOOSE(smp_act_scn_idx,AL282,BM282,CN282))</f>
        <v>0.23935442581808444</v>
      </c>
      <c r="K142" s="73">
        <f>IF(9&gt;smp_act_horizon_n,"",CHOOSE(smp_act_scn_idx,AM282,BN282,CO282))</f>
        <v>0.22465139959217426</v>
      </c>
      <c r="L142" s="73">
        <f>IF(10&gt;smp_act_horizon_n,"",CHOOSE(smp_act_scn_idx,AN282,BO282,CP282))</f>
        <v>0.20939595150637549</v>
      </c>
      <c r="M142" s="73">
        <f>IF(11&gt;smp_act_horizon_n,"",CHOOSE(smp_act_scn_idx,AO282,BP282,CQ282))</f>
        <v>0.19469257082672695</v>
      </c>
      <c r="N142" s="73">
        <f>IF(12&gt;smp_act_horizon_n,"",CHOOSE(smp_act_scn_idx,AP282,BQ282,CR282))</f>
        <v>0.18167955318188289</v>
      </c>
      <c r="O142" s="73">
        <f>IF(13&gt;smp_act_horizon_n,"",CHOOSE(smp_act_scn_idx,AQ282,BR282,CS282))</f>
        <v>0.16425523438603473</v>
      </c>
      <c r="P142" s="73">
        <f>IF(14&gt;smp_act_horizon_n,"",CHOOSE(smp_act_scn_idx,AR282,BS282,CT282))</f>
        <v>0.14879924822689647</v>
      </c>
      <c r="Q142" s="73">
        <f>IF(15&gt;smp_act_horizon_n,"",CHOOSE(smp_act_scn_idx,AS282,BT282,CU282))</f>
        <v>0.1351329208967918</v>
      </c>
      <c r="R142" s="73">
        <f>IF(16&gt;smp_act_horizon_n,"",CHOOSE(smp_act_scn_idx,AT282,BU282,CV282))</f>
        <v>0.12273343151693665</v>
      </c>
      <c r="S142" s="73">
        <f>IF(17&gt;smp_act_horizon_n,"",CHOOSE(smp_act_scn_idx,AU282,BV282,CW282))</f>
        <v>0.11161462622412426</v>
      </c>
      <c r="T142" s="73">
        <f>IF(18&gt;smp_act_horizon_n,"",CHOOSE(smp_act_scn_idx,AV282,BW282,CX282))</f>
        <v>0.10124840362965058</v>
      </c>
      <c r="U142" s="73">
        <f>IF(19&gt;smp_act_horizon_n,"",CHOOSE(smp_act_scn_idx,AW282,BX282,CY282))</f>
        <v>9.1727070666768842E-2</v>
      </c>
      <c r="V142" s="73">
        <f>IF(20&gt;smp_act_horizon_n,"",CHOOSE(smp_act_scn_idx,AX282,BY282,CZ282))</f>
        <v>8.2912433861726503E-2</v>
      </c>
      <c r="W142" s="73">
        <f>IF(21&gt;smp_act_horizon_n,"",CHOOSE(smp_act_scn_idx,AY282,BZ282,DA282))</f>
        <v>7.4966777783998684E-2</v>
      </c>
      <c r="X142" s="73">
        <f>IF(22&gt;smp_act_horizon_n,"",CHOOSE(smp_act_scn_idx,AZ282,CA282,DB282))</f>
        <v>6.7711461587595542E-2</v>
      </c>
      <c r="Y142" s="73">
        <f>IF(23&gt;smp_act_horizon_n,"",CHOOSE(smp_act_scn_idx,BA282,CB282,DC282))</f>
        <v>6.1062344224544152E-2</v>
      </c>
      <c r="Z142" s="73">
        <f>IF(24&gt;smp_act_horizon_n,"",CHOOSE(smp_act_scn_idx,BB282,CC282,DD282))</f>
        <v>5.4918349262316132E-2</v>
      </c>
      <c r="AA142" s="1"/>
      <c r="AB142" s="74">
        <f>CHOOSE(smp_act_scn_idx,BC282,CD282,DE282)</f>
        <v>0.18167955318188289</v>
      </c>
      <c r="AC142" s="74">
        <f>IF(smp_act_horizon_n&lt;24,"",CHOOSE(smp_act_scn_idx,BD282,CE282,DF282))</f>
        <v>5.4918349262316132E-2</v>
      </c>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c r="CS142" s="2"/>
      <c r="CT142" s="2"/>
      <c r="CU142" s="2"/>
      <c r="CV142" s="2"/>
      <c r="CW142" s="2"/>
      <c r="CX142" s="2"/>
      <c r="CY142" s="2"/>
      <c r="CZ142" s="2"/>
      <c r="DA142" s="2"/>
      <c r="DB142" s="2"/>
      <c r="DC142" s="2"/>
      <c r="DD142" s="2"/>
      <c r="DE142" s="2"/>
      <c r="DF142" s="2"/>
      <c r="DG142"/>
      <c r="DH142"/>
    </row>
    <row r="143" spans="1:112" ht="20" customHeight="1" x14ac:dyDescent="0.2">
      <c r="A143" s="1"/>
      <c r="B143" s="22" t="s">
        <v>81</v>
      </c>
      <c r="C143" s="73">
        <f>IF(1&gt;smp_act_horizon_n,"",CHOOSE(smp_act_scn_idx,AE281,BF281,CG281))</f>
        <v>3.1803598521068404</v>
      </c>
      <c r="D143" s="73">
        <f>IF(2&gt;smp_act_horizon_n,"",CHOOSE(smp_act_scn_idx,AF281,BG281,CH281))</f>
        <v>4.0252506066403431</v>
      </c>
      <c r="E143" s="73">
        <f>IF(3&gt;smp_act_horizon_n,"",CHOOSE(smp_act_scn_idx,AG281,BH281,CI281))</f>
        <v>1.4971790077304494</v>
      </c>
      <c r="F143" s="73">
        <f>IF(4&gt;smp_act_horizon_n,"",CHOOSE(smp_act_scn_idx,AH281,BI281,CJ281))</f>
        <v>-0.2571650166244443</v>
      </c>
      <c r="G143" s="73">
        <f>IF(5&gt;smp_act_horizon_n,"",CHOOSE(smp_act_scn_idx,AI281,BJ281,CK281))</f>
        <v>7.2241707549755567</v>
      </c>
      <c r="H143" s="73">
        <f>IF(6&gt;smp_act_horizon_n,"",CHOOSE(smp_act_scn_idx,AJ281,BK281,CL281))</f>
        <v>9.594378533465056</v>
      </c>
      <c r="I143" s="73">
        <f>IF(7&gt;smp_act_horizon_n,"",CHOOSE(smp_act_scn_idx,AK281,BL281,CM281))</f>
        <v>9.4797153097702083</v>
      </c>
      <c r="J143" s="73">
        <f>IF(8&gt;smp_act_horizon_n,"",CHOOSE(smp_act_scn_idx,AL281,BM281,CN281))</f>
        <v>2.3186692818476584</v>
      </c>
      <c r="K143" s="73">
        <f>IF(9&gt;smp_act_horizon_n,"",CHOOSE(smp_act_scn_idx,AM281,BN281,CO281))</f>
        <v>7.8206817750144317</v>
      </c>
      <c r="L143" s="73">
        <f>IF(10&gt;smp_act_horizon_n,"",CHOOSE(smp_act_scn_idx,AN281,BO281,CP281))</f>
        <v>2.4359938020716791</v>
      </c>
      <c r="M143" s="73">
        <f>IF(11&gt;smp_act_horizon_n,"",CHOOSE(smp_act_scn_idx,AO281,BP281,CQ281))</f>
        <v>8.3156604915256409</v>
      </c>
      <c r="N143" s="73">
        <f>IF(12&gt;smp_act_horizon_n,"",CHOOSE(smp_act_scn_idx,AP281,BQ281,CR281))</f>
        <v>11.880428771523839</v>
      </c>
      <c r="O143" s="73">
        <f>IF(13&gt;smp_act_horizon_n,"",CHOOSE(smp_act_scn_idx,AQ281,BR281,CS281))</f>
        <v>12.083947207237431</v>
      </c>
      <c r="P143" s="73">
        <f>IF(14&gt;smp_act_horizon_n,"",CHOOSE(smp_act_scn_idx,AR281,BS281,CT281))</f>
        <v>11.277084774886777</v>
      </c>
      <c r="Q143" s="73">
        <f>IF(15&gt;smp_act_horizon_n,"",CHOOSE(smp_act_scn_idx,AS281,BT281,CU281))</f>
        <v>12.295351217726505</v>
      </c>
      <c r="R143" s="73">
        <f>IF(16&gt;smp_act_horizon_n,"",CHOOSE(smp_act_scn_idx,AT281,BU281,CV281))</f>
        <v>-0.99613508864367994</v>
      </c>
      <c r="S143" s="73">
        <f>IF(17&gt;smp_act_horizon_n,"",CHOOSE(smp_act_scn_idx,AU281,BV281,CW281))</f>
        <v>14.744118205599156</v>
      </c>
      <c r="T143" s="73">
        <f>IF(18&gt;smp_act_horizon_n,"",CHOOSE(smp_act_scn_idx,AV281,BW281,CX281))</f>
        <v>16.506555927132748</v>
      </c>
      <c r="U143" s="73">
        <f>IF(19&gt;smp_act_horizon_n,"",CHOOSE(smp_act_scn_idx,AW281,BX281,CY281))</f>
        <v>16.968863994105007</v>
      </c>
      <c r="V143" s="73">
        <f>IF(20&gt;smp_act_horizon_n,"",CHOOSE(smp_act_scn_idx,AX281,BY281,CZ281))</f>
        <v>4.3616618355765331</v>
      </c>
      <c r="W143" s="73">
        <f>IF(21&gt;smp_act_horizon_n,"",CHOOSE(smp_act_scn_idx,AY281,BZ281,DA281))</f>
        <v>15.798534805115235</v>
      </c>
      <c r="X143" s="73">
        <f>IF(22&gt;smp_act_horizon_n,"",CHOOSE(smp_act_scn_idx,AZ281,CA281,DB281))</f>
        <v>4.5596981030241022</v>
      </c>
      <c r="Y143" s="73">
        <f>IF(23&gt;smp_act_horizon_n,"",CHOOSE(smp_act_scn_idx,BA281,CB281,DC281))</f>
        <v>17.73445695238491</v>
      </c>
      <c r="Z143" s="73">
        <f>IF(24&gt;smp_act_horizon_n,"",CHOOSE(smp_act_scn_idx,BB281,CC281,DD281))</f>
        <v>18.952211888495754</v>
      </c>
      <c r="AA143" s="1"/>
      <c r="AB143" s="74">
        <f>CHOOSE(smp_act_scn_idx,BC281,CD281,DE281)</f>
        <v>5.5858804949749761</v>
      </c>
      <c r="AC143" s="74">
        <f>IF(smp_act_horizon_n&lt;24,"",CHOOSE(smp_act_scn_idx,BD281,CE281,DF281))</f>
        <v>11.989207833350076</v>
      </c>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c r="CS143" s="2"/>
      <c r="CT143" s="2"/>
      <c r="CU143" s="2"/>
      <c r="CV143" s="2"/>
      <c r="CW143" s="2"/>
      <c r="CX143" s="2"/>
      <c r="CY143" s="2"/>
      <c r="CZ143" s="2"/>
      <c r="DA143" s="2"/>
      <c r="DB143" s="2"/>
      <c r="DC143" s="2"/>
      <c r="DD143" s="2"/>
      <c r="DE143" s="2"/>
      <c r="DF143" s="2"/>
      <c r="DG143"/>
      <c r="DH143"/>
    </row>
    <row r="144" spans="1:112" ht="20" customHeight="1" x14ac:dyDescent="0.2">
      <c r="A144" s="1"/>
      <c r="B144" s="30" t="s">
        <v>82</v>
      </c>
      <c r="C144" s="75">
        <f>IF(1&gt;smp_act_horizon_n,"",CHOOSE(smp_act_scn_idx,IFERROR((smp_cov_de_max-AE282)/smp_cov_de_max,0),IFERROR((smp_cov_de_max-BF282)/smp_cov_de_max,0),IFERROR((smp_cov_de_max-CG282)/smp_cov_de_max,0)))</f>
        <v>0.85053856274903239</v>
      </c>
      <c r="D144" s="75">
        <f>IF(2&gt;smp_act_horizon_n,"",CHOOSE(smp_act_scn_idx,IFERROR((smp_cov_de_max-AF282)/smp_cov_de_max,0),IFERROR((smp_cov_de_max-BG282)/smp_cov_de_max,0),IFERROR((smp_cov_de_max-CH282)/smp_cov_de_max,0)))</f>
        <v>0.86698488814175256</v>
      </c>
      <c r="E144" s="75">
        <f>IF(3&gt;smp_act_horizon_n,"",CHOOSE(smp_act_scn_idx,IFERROR((smp_cov_de_max-AG282)/smp_cov_de_max,0),IFERROR((smp_cov_de_max-BH282)/smp_cov_de_max,0),IFERROR((smp_cov_de_max-CI282)/smp_cov_de_max,0)))</f>
        <v>0.88176121727682644</v>
      </c>
      <c r="F144" s="75">
        <f>IF(4&gt;smp_act_horizon_n,"",CHOOSE(smp_act_scn_idx,IFERROR((smp_cov_de_max-AH282)/smp_cov_de_max,0),IFERROR((smp_cov_de_max-BI282)/smp_cov_de_max,0),IFERROR((smp_cov_de_max-CJ282)/smp_cov_de_max,0)))</f>
        <v>0.89412139402167279</v>
      </c>
      <c r="G144" s="75">
        <f>IF(5&gt;smp_act_horizon_n,"",CHOOSE(smp_act_scn_idx,IFERROR((smp_cov_de_max-AI282)/smp_cov_de_max,0),IFERROR((smp_cov_de_max-BJ282)/smp_cov_de_max,0),IFERROR((smp_cov_de_max-CK282)/smp_cov_de_max,0)))</f>
        <v>0.90449118766898262</v>
      </c>
      <c r="H144" s="75">
        <f>IF(6&gt;smp_act_horizon_n,"",CHOOSE(smp_act_scn_idx,IFERROR((smp_cov_de_max-AJ282)/smp_cov_de_max,0),IFERROR((smp_cov_de_max-BK282)/smp_cov_de_max,0),IFERROR((smp_cov_de_max-CL282)/smp_cov_de_max,0)))</f>
        <v>0.91116434385315337</v>
      </c>
      <c r="I144" s="75">
        <f>IF(7&gt;smp_act_horizon_n,"",CHOOSE(smp_act_scn_idx,IFERROR((smp_cov_de_max-AK282)/smp_cov_de_max,0),IFERROR((smp_cov_de_max-BL282)/smp_cov_de_max,0),IFERROR((smp_cov_de_max-CM282)/smp_cov_de_max,0)))</f>
        <v>0.91596462820528002</v>
      </c>
      <c r="J144" s="75">
        <f>IF(8&gt;smp_act_horizon_n,"",CHOOSE(smp_act_scn_idx,IFERROR((smp_cov_de_max-AL282)/smp_cov_de_max,0),IFERROR((smp_cov_de_max-BM282)/smp_cov_de_max,0),IFERROR((smp_cov_de_max-CN282)/smp_cov_de_max,0)))</f>
        <v>0.9202151913939719</v>
      </c>
      <c r="K144" s="75">
        <f>IF(9&gt;smp_act_horizon_n,"",CHOOSE(smp_act_scn_idx,IFERROR((smp_cov_de_max-AM282)/smp_cov_de_max,0),IFERROR((smp_cov_de_max-BN282)/smp_cov_de_max,0),IFERROR((smp_cov_de_max-CO282)/smp_cov_de_max,0)))</f>
        <v>0.92511620013594198</v>
      </c>
      <c r="L144" s="75">
        <f>IF(10&gt;smp_act_horizon_n,"",CHOOSE(smp_act_scn_idx,IFERROR((smp_cov_de_max-AN282)/smp_cov_de_max,0),IFERROR((smp_cov_de_max-BO282)/smp_cov_de_max,0),IFERROR((smp_cov_de_max-CP282)/smp_cov_de_max,0)))</f>
        <v>0.93020134949787481</v>
      </c>
      <c r="M144" s="75">
        <f>IF(11&gt;smp_act_horizon_n,"",CHOOSE(smp_act_scn_idx,IFERROR((smp_cov_de_max-AO282)/smp_cov_de_max,0),IFERROR((smp_cov_de_max-BP282)/smp_cov_de_max,0),IFERROR((smp_cov_de_max-CQ282)/smp_cov_de_max,0)))</f>
        <v>0.93510247639109101</v>
      </c>
      <c r="N144" s="75">
        <f>IF(12&gt;smp_act_horizon_n,"",CHOOSE(smp_act_scn_idx,IFERROR((smp_cov_de_max-AP282)/smp_cov_de_max,0),IFERROR((smp_cov_de_max-BQ282)/smp_cov_de_max,0),IFERROR((smp_cov_de_max-CR282)/smp_cov_de_max,0)))</f>
        <v>0.93944014893937233</v>
      </c>
      <c r="O144" s="75">
        <f>IF(13&gt;smp_act_horizon_n,"",CHOOSE(smp_act_scn_idx,IFERROR((smp_cov_de_max-AQ282)/smp_cov_de_max,0),IFERROR((smp_cov_de_max-BR282)/smp_cov_de_max,0),IFERROR((smp_cov_de_max-CS282)/smp_cov_de_max,0)))</f>
        <v>0.94524825520465505</v>
      </c>
      <c r="P144" s="75">
        <f>IF(14&gt;smp_act_horizon_n,"",CHOOSE(smp_act_scn_idx,IFERROR((smp_cov_de_max-AR282)/smp_cov_de_max,0),IFERROR((smp_cov_de_max-BS282)/smp_cov_de_max,0),IFERROR((smp_cov_de_max-CT282)/smp_cov_de_max,0)))</f>
        <v>0.95040025059103461</v>
      </c>
      <c r="Q144" s="75">
        <f>IF(15&gt;smp_act_horizon_n,"",CHOOSE(smp_act_scn_idx,IFERROR((smp_cov_de_max-AS282)/smp_cov_de_max,0),IFERROR((smp_cov_de_max-BT282)/smp_cov_de_max,0),IFERROR((smp_cov_de_max-CU282)/smp_cov_de_max,0)))</f>
        <v>0.95495569303440275</v>
      </c>
      <c r="R144" s="75">
        <f>IF(16&gt;smp_act_horizon_n,"",CHOOSE(smp_act_scn_idx,IFERROR((smp_cov_de_max-AT282)/smp_cov_de_max,0),IFERROR((smp_cov_de_max-BU282)/smp_cov_de_max,0),IFERROR((smp_cov_de_max-CV282)/smp_cov_de_max,0)))</f>
        <v>0.95908885616102113</v>
      </c>
      <c r="S144" s="75">
        <f>IF(17&gt;smp_act_horizon_n,"",CHOOSE(smp_act_scn_idx,IFERROR((smp_cov_de_max-AU282)/smp_cov_de_max,0),IFERROR((smp_cov_de_max-BV282)/smp_cov_de_max,0),IFERROR((smp_cov_de_max-CW282)/smp_cov_de_max,0)))</f>
        <v>0.96279512459195848</v>
      </c>
      <c r="T144" s="75">
        <f>IF(18&gt;smp_act_horizon_n,"",CHOOSE(smp_act_scn_idx,IFERROR((smp_cov_de_max-AV282)/smp_cov_de_max,0),IFERROR((smp_cov_de_max-BW282)/smp_cov_de_max,0),IFERROR((smp_cov_de_max-CX282)/smp_cov_de_max,0)))</f>
        <v>0.9662505321234498</v>
      </c>
      <c r="U144" s="75">
        <f>IF(19&gt;smp_act_horizon_n,"",CHOOSE(smp_act_scn_idx,IFERROR((smp_cov_de_max-AW282)/smp_cov_de_max,0),IFERROR((smp_cov_de_max-BX282)/smp_cov_de_max,0),IFERROR((smp_cov_de_max-CY282)/smp_cov_de_max,0)))</f>
        <v>0.96942430977774363</v>
      </c>
      <c r="V144" s="75">
        <f>IF(20&gt;smp_act_horizon_n,"",CHOOSE(smp_act_scn_idx,IFERROR((smp_cov_de_max-AX282)/smp_cov_de_max,0),IFERROR((smp_cov_de_max-BY282)/smp_cov_de_max,0),IFERROR((smp_cov_de_max-CZ282)/smp_cov_de_max,0)))</f>
        <v>0.97236252204609119</v>
      </c>
      <c r="W144" s="75">
        <f>IF(21&gt;smp_act_horizon_n,"",CHOOSE(smp_act_scn_idx,IFERROR((smp_cov_de_max-AY282)/smp_cov_de_max,0),IFERROR((smp_cov_de_max-BZ282)/smp_cov_de_max,0),IFERROR((smp_cov_de_max-DA282)/smp_cov_de_max,0)))</f>
        <v>0.97501107407200038</v>
      </c>
      <c r="X144" s="75">
        <f>IF(22&gt;smp_act_horizon_n,"",CHOOSE(smp_act_scn_idx,IFERROR((smp_cov_de_max-AZ282)/smp_cov_de_max,0),IFERROR((smp_cov_de_max-CA282)/smp_cov_de_max,0),IFERROR((smp_cov_de_max-DB282)/smp_cov_de_max,0)))</f>
        <v>0.97742951280413493</v>
      </c>
      <c r="Y144" s="75">
        <f>IF(23&gt;smp_act_horizon_n,"",CHOOSE(smp_act_scn_idx,IFERROR((smp_cov_de_max-BA282)/smp_cov_de_max,0),IFERROR((smp_cov_de_max-CB282)/smp_cov_de_max,0),IFERROR((smp_cov_de_max-DC282)/smp_cov_de_max,0)))</f>
        <v>0.97964588525848528</v>
      </c>
      <c r="Z144" s="75">
        <f>IF(24&gt;smp_act_horizon_n,"",CHOOSE(smp_act_scn_idx,IFERROR((smp_cov_de_max-BB282)/smp_cov_de_max,0),IFERROR((smp_cov_de_max-CC282)/smp_cov_de_max,0),IFERROR((smp_cov_de_max-DD282)/smp_cov_de_max,0)))</f>
        <v>0.98169388357922793</v>
      </c>
      <c r="AA144" s="1"/>
      <c r="AB144" s="76">
        <f>CHOOSE(smp_act_scn_idx,IFERROR((smp_cov_de_max-INDEX(AE282:BB282,smp_act_horizon_n))/smp_cov_de_max,0),IFERROR((smp_cov_de_max-INDEX(BF282:CC282,smp_act_horizon_n))/smp_cov_de_max,0),IFERROR((smp_cov_de_max-INDEX(CG282:DD282,smp_act_horizon_n))/smp_cov_de_max,0))</f>
        <v>0.98169388357922793</v>
      </c>
      <c r="AC144" s="76" t="str">
        <f>IF(smp_act_horizon_n&lt;24,"","")</f>
        <v/>
      </c>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c r="CS144" s="2"/>
      <c r="CT144" s="2"/>
      <c r="CU144" s="2"/>
      <c r="CV144" s="2"/>
      <c r="CW144" s="2"/>
      <c r="CX144" s="2"/>
      <c r="CY144" s="2"/>
      <c r="CZ144" s="2"/>
      <c r="DA144" s="2"/>
      <c r="DB144" s="2"/>
      <c r="DC144" s="2"/>
      <c r="DD144" s="2"/>
      <c r="DE144" s="2"/>
      <c r="DF144" s="2"/>
      <c r="DG144"/>
      <c r="DH144"/>
    </row>
    <row r="145" spans="1:112" x14ac:dyDescent="0.2">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c r="CS145" s="2"/>
      <c r="CT145" s="2"/>
      <c r="CU145" s="2"/>
      <c r="CV145" s="2"/>
      <c r="CW145" s="2"/>
      <c r="CX145" s="2"/>
      <c r="CY145" s="2"/>
      <c r="CZ145" s="2"/>
      <c r="DA145" s="2"/>
      <c r="DB145" s="2"/>
      <c r="DC145" s="2"/>
      <c r="DD145" s="2"/>
      <c r="DE145" s="2"/>
      <c r="DF145" s="2"/>
      <c r="DG145"/>
      <c r="DH145"/>
    </row>
    <row r="146" spans="1:112" ht="22" customHeight="1" x14ac:dyDescent="0.2">
      <c r="A146" s="1"/>
      <c r="B146" s="57" t="s">
        <v>83</v>
      </c>
      <c r="C146" s="20"/>
      <c r="D146" s="20"/>
      <c r="E146" s="20"/>
      <c r="F146" s="20"/>
      <c r="G146" s="20"/>
      <c r="H146" s="20"/>
      <c r="I146" s="20"/>
      <c r="J146" s="20"/>
      <c r="K146" s="20"/>
      <c r="L146" s="20"/>
      <c r="M146" s="20"/>
      <c r="N146" s="20"/>
      <c r="O146" s="20"/>
      <c r="P146" s="20"/>
      <c r="Q146" s="20"/>
      <c r="R146" s="20"/>
      <c r="S146" s="20"/>
      <c r="T146" s="20"/>
      <c r="U146" s="20"/>
      <c r="V146" s="20"/>
      <c r="W146" s="20"/>
      <c r="X146" s="20"/>
      <c r="Y146" s="20"/>
      <c r="Z146" s="20"/>
      <c r="AA146" s="20"/>
      <c r="AB146" s="20"/>
      <c r="AC146" s="21" t="s">
        <v>413</v>
      </c>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c r="CS146" s="2"/>
      <c r="CT146" s="2"/>
      <c r="CU146" s="2"/>
      <c r="CV146" s="2"/>
      <c r="CW146" s="2"/>
      <c r="CX146" s="2"/>
      <c r="CY146" s="2"/>
      <c r="CZ146" s="2"/>
      <c r="DA146" s="2"/>
      <c r="DB146" s="2"/>
      <c r="DC146" s="2"/>
      <c r="DD146" s="2"/>
      <c r="DE146" s="2"/>
      <c r="DF146" s="2"/>
      <c r="DG146"/>
      <c r="DH146"/>
    </row>
    <row r="147" spans="1:112" ht="22" customHeight="1" x14ac:dyDescent="0.2">
      <c r="A147" s="1"/>
      <c r="B147" s="27" t="s">
        <v>33</v>
      </c>
      <c r="C147" s="115" t="s">
        <v>84</v>
      </c>
      <c r="D147" s="112"/>
      <c r="E147" s="112"/>
      <c r="F147" s="112"/>
      <c r="G147" s="112"/>
      <c r="H147" s="112"/>
      <c r="I147" s="115" t="s">
        <v>412</v>
      </c>
      <c r="J147" s="112"/>
      <c r="K147" s="112"/>
      <c r="L147" s="112"/>
      <c r="M147" s="112"/>
      <c r="N147" s="112"/>
      <c r="O147" s="115" t="s">
        <v>85</v>
      </c>
      <c r="P147" s="112"/>
      <c r="Q147" s="112"/>
      <c r="R147" s="112"/>
      <c r="S147" s="112"/>
      <c r="T147" s="112"/>
      <c r="U147" s="112"/>
      <c r="V147" s="112"/>
      <c r="W147" s="112"/>
      <c r="X147" s="112"/>
      <c r="Y147" s="112"/>
      <c r="Z147" s="112"/>
      <c r="AA147" s="1"/>
      <c r="AB147" s="1"/>
      <c r="AC147" s="1"/>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c r="CS147" s="2"/>
      <c r="CT147" s="2"/>
      <c r="CU147" s="2"/>
      <c r="CV147" s="2"/>
      <c r="CW147" s="2"/>
      <c r="CX147" s="2"/>
      <c r="CY147" s="2"/>
      <c r="CZ147" s="2"/>
      <c r="DA147" s="2"/>
      <c r="DB147" s="2"/>
      <c r="DC147" s="2"/>
      <c r="DD147" s="2"/>
      <c r="DE147" s="2"/>
      <c r="DF147" s="2"/>
      <c r="DG147"/>
      <c r="DH147"/>
    </row>
    <row r="148" spans="1:112" ht="22" customHeight="1" x14ac:dyDescent="0.2">
      <c r="A148" s="1"/>
      <c r="B148" s="22" t="s">
        <v>86</v>
      </c>
      <c r="C148" s="124">
        <f>smp_ar_days</f>
        <v>55</v>
      </c>
      <c r="D148" s="104"/>
      <c r="E148" s="104"/>
      <c r="F148" s="104"/>
      <c r="G148" s="104"/>
      <c r="H148" s="104"/>
      <c r="I148" s="130">
        <v>50</v>
      </c>
      <c r="J148" s="104"/>
      <c r="K148" s="104"/>
      <c r="L148" s="104"/>
      <c r="M148" s="104"/>
      <c r="N148" s="104"/>
      <c r="O148" s="130">
        <f>IFERROR(C148-I148,0)</f>
        <v>5</v>
      </c>
      <c r="P148" s="104"/>
      <c r="Q148" s="104"/>
      <c r="R148" s="104"/>
      <c r="S148" s="104"/>
      <c r="T148" s="104"/>
      <c r="U148" s="104"/>
      <c r="V148" s="104"/>
      <c r="W148" s="104"/>
      <c r="X148" s="104"/>
      <c r="Y148" s="104"/>
      <c r="Z148" s="104"/>
      <c r="AA148" s="1"/>
      <c r="AB148" s="1"/>
      <c r="AC148" s="1"/>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c r="CS148" s="2"/>
      <c r="CT148" s="2"/>
      <c r="CU148" s="2"/>
      <c r="CV148" s="2"/>
      <c r="CW148" s="2"/>
      <c r="CX148" s="2"/>
      <c r="CY148" s="2"/>
      <c r="CZ148" s="2"/>
      <c r="DA148" s="2"/>
      <c r="DB148" s="2"/>
      <c r="DC148" s="2"/>
      <c r="DD148" s="2"/>
      <c r="DE148" s="2"/>
      <c r="DF148" s="2"/>
      <c r="DG148"/>
      <c r="DH148"/>
    </row>
    <row r="149" spans="1:112" ht="22" customHeight="1" x14ac:dyDescent="0.2">
      <c r="A149" s="1"/>
      <c r="B149" s="22" t="s">
        <v>87</v>
      </c>
      <c r="C149" s="124">
        <f>smp_ap_days</f>
        <v>32</v>
      </c>
      <c r="D149" s="104"/>
      <c r="E149" s="104"/>
      <c r="F149" s="104"/>
      <c r="G149" s="104"/>
      <c r="H149" s="104"/>
      <c r="I149" s="130">
        <v>30</v>
      </c>
      <c r="J149" s="104"/>
      <c r="K149" s="104"/>
      <c r="L149" s="104"/>
      <c r="M149" s="104"/>
      <c r="N149" s="104"/>
      <c r="O149" s="130">
        <f>IFERROR(C149-I149,0)</f>
        <v>2</v>
      </c>
      <c r="P149" s="104"/>
      <c r="Q149" s="104"/>
      <c r="R149" s="104"/>
      <c r="S149" s="104"/>
      <c r="T149" s="104"/>
      <c r="U149" s="104"/>
      <c r="V149" s="104"/>
      <c r="W149" s="104"/>
      <c r="X149" s="104"/>
      <c r="Y149" s="104"/>
      <c r="Z149" s="104"/>
      <c r="AA149" s="1"/>
      <c r="AB149" s="1"/>
      <c r="AC149" s="1"/>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c r="CS149" s="2"/>
      <c r="CT149" s="2"/>
      <c r="CU149" s="2"/>
      <c r="CV149" s="2"/>
      <c r="CW149" s="2"/>
      <c r="CX149" s="2"/>
      <c r="CY149" s="2"/>
      <c r="CZ149" s="2"/>
      <c r="DA149" s="2"/>
      <c r="DB149" s="2"/>
      <c r="DC149" s="2"/>
      <c r="DD149" s="2"/>
      <c r="DE149" s="2"/>
      <c r="DF149" s="2"/>
      <c r="DG149"/>
      <c r="DH149"/>
    </row>
    <row r="150" spans="1:112" ht="22" customHeight="1" x14ac:dyDescent="0.2">
      <c r="A150" s="1"/>
      <c r="B150" s="22" t="s">
        <v>88</v>
      </c>
      <c r="C150" s="134">
        <f>IFERROR((CHOOSE(smp_act_scn_idx,INDEX(AE250:BB250,smp_act_horizon_n)-INDEX(AE257:BB257,smp_act_horizon_n),INDEX(BF250:CC250,smp_act_horizon_n)-INDEX(BF257:CC257,smp_act_horizon_n),INDEX(CG250:DD250,smp_act_horizon_n)-INDEX(CG257:DD257,smp_act_horizon_n)))/CHOOSE(smp_act_scn_idx,BC190,CD190,DE190),0)</f>
        <v>0.12214385359620297</v>
      </c>
      <c r="D150" s="104"/>
      <c r="E150" s="104"/>
      <c r="F150" s="104"/>
      <c r="G150" s="104"/>
      <c r="H150" s="104"/>
      <c r="I150" s="127">
        <v>0.12</v>
      </c>
      <c r="J150" s="104"/>
      <c r="K150" s="104"/>
      <c r="L150" s="104"/>
      <c r="M150" s="104"/>
      <c r="N150" s="104"/>
      <c r="O150" s="127">
        <f>IFERROR(C150-I150,0)</f>
        <v>2.143853596202977E-3</v>
      </c>
      <c r="P150" s="104"/>
      <c r="Q150" s="104"/>
      <c r="R150" s="104"/>
      <c r="S150" s="104"/>
      <c r="T150" s="104"/>
      <c r="U150" s="104"/>
      <c r="V150" s="104"/>
      <c r="W150" s="104"/>
      <c r="X150" s="104"/>
      <c r="Y150" s="104"/>
      <c r="Z150" s="104"/>
      <c r="AA150" s="1"/>
      <c r="AB150" s="1"/>
      <c r="AC150" s="1"/>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c r="CS150" s="2"/>
      <c r="CT150" s="2"/>
      <c r="CU150" s="2"/>
      <c r="CV150" s="2"/>
      <c r="CW150" s="2"/>
      <c r="CX150" s="2"/>
      <c r="CY150" s="2"/>
      <c r="CZ150" s="2"/>
      <c r="DA150" s="2"/>
      <c r="DB150" s="2"/>
      <c r="DC150" s="2"/>
      <c r="DD150" s="2"/>
      <c r="DE150" s="2"/>
      <c r="DF150" s="2"/>
      <c r="DG150"/>
      <c r="DH150"/>
    </row>
    <row r="151" spans="1:112" ht="22" customHeight="1" x14ac:dyDescent="0.2">
      <c r="A151" s="1"/>
      <c r="B151" s="22" t="s">
        <v>402</v>
      </c>
      <c r="C151" s="133">
        <f>CHOOSE(smp_act_scn_idx,INDEX(AE282:BB282,smp_act_horizon_n),INDEX(BF282:CC282,smp_act_horizon_n),INDEX(CG282:DD282,smp_act_horizon_n))</f>
        <v>5.4918349262316132E-2</v>
      </c>
      <c r="D151" s="104"/>
      <c r="E151" s="104"/>
      <c r="F151" s="104"/>
      <c r="G151" s="104"/>
      <c r="H151" s="104"/>
      <c r="I151" s="122">
        <v>1.5</v>
      </c>
      <c r="J151" s="104"/>
      <c r="K151" s="104"/>
      <c r="L151" s="104"/>
      <c r="M151" s="104"/>
      <c r="N151" s="104"/>
      <c r="O151" s="122">
        <f>IFERROR(C151-I151,0)</f>
        <v>-1.4450816507376838</v>
      </c>
      <c r="P151" s="104"/>
      <c r="Q151" s="104"/>
      <c r="R151" s="104"/>
      <c r="S151" s="104"/>
      <c r="T151" s="104"/>
      <c r="U151" s="104"/>
      <c r="V151" s="104"/>
      <c r="W151" s="104"/>
      <c r="X151" s="104"/>
      <c r="Y151" s="104"/>
      <c r="Z151" s="104"/>
      <c r="AA151" s="1"/>
      <c r="AB151" s="1"/>
      <c r="AC151" s="1"/>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c r="CS151" s="2"/>
      <c r="CT151" s="2"/>
      <c r="CU151" s="2"/>
      <c r="CV151" s="2"/>
      <c r="CW151" s="2"/>
      <c r="CX151" s="2"/>
      <c r="CY151" s="2"/>
      <c r="CZ151" s="2"/>
      <c r="DA151" s="2"/>
      <c r="DB151" s="2"/>
      <c r="DC151" s="2"/>
      <c r="DD151" s="2"/>
      <c r="DE151" s="2"/>
      <c r="DF151" s="2"/>
      <c r="DG151"/>
      <c r="DH151"/>
    </row>
    <row r="152" spans="1:112" x14ac:dyDescent="0.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c r="CS152" s="2"/>
      <c r="CT152" s="2"/>
      <c r="CU152" s="2"/>
      <c r="CV152" s="2"/>
      <c r="CW152" s="2"/>
      <c r="CX152" s="2"/>
      <c r="CY152" s="2"/>
      <c r="CZ152" s="2"/>
      <c r="DA152" s="2"/>
      <c r="DB152" s="2"/>
      <c r="DC152" s="2"/>
      <c r="DD152" s="2"/>
      <c r="DE152" s="2"/>
      <c r="DF152" s="2"/>
      <c r="DG152"/>
      <c r="DH152"/>
    </row>
    <row r="153" spans="1:112" ht="22" customHeight="1" x14ac:dyDescent="0.2">
      <c r="A153" s="1"/>
      <c r="B153" s="57" t="s">
        <v>89</v>
      </c>
      <c r="C153" s="20"/>
      <c r="D153" s="20"/>
      <c r="E153" s="20"/>
      <c r="F153" s="20"/>
      <c r="G153" s="20"/>
      <c r="H153" s="20"/>
      <c r="I153" s="20"/>
      <c r="J153" s="20"/>
      <c r="K153" s="20"/>
      <c r="L153" s="20"/>
      <c r="M153" s="20"/>
      <c r="N153" s="20"/>
      <c r="O153" s="20"/>
      <c r="P153" s="20"/>
      <c r="Q153" s="20"/>
      <c r="R153" s="20"/>
      <c r="S153" s="20"/>
      <c r="T153" s="20"/>
      <c r="U153" s="20"/>
      <c r="V153" s="20"/>
      <c r="W153" s="20"/>
      <c r="X153" s="20"/>
      <c r="Y153" s="20"/>
      <c r="Z153" s="20"/>
      <c r="AA153" s="20"/>
      <c r="AB153" s="20"/>
      <c r="AC153" s="21" t="s">
        <v>90</v>
      </c>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c r="CS153" s="2"/>
      <c r="CT153" s="2"/>
      <c r="CU153" s="2"/>
      <c r="CV153" s="2"/>
      <c r="CW153" s="2"/>
      <c r="CX153" s="2"/>
      <c r="CY153" s="2"/>
      <c r="CZ153" s="2"/>
      <c r="DA153" s="2"/>
      <c r="DB153" s="2"/>
      <c r="DC153" s="2"/>
      <c r="DD153" s="2"/>
      <c r="DE153" s="2"/>
      <c r="DF153" s="2"/>
      <c r="DG153"/>
      <c r="DH153"/>
    </row>
    <row r="154" spans="1:112" ht="22" customHeight="1" x14ac:dyDescent="0.2">
      <c r="A154" s="1"/>
      <c r="B154" s="27" t="s">
        <v>91</v>
      </c>
      <c r="C154" s="137" t="s">
        <v>92</v>
      </c>
      <c r="D154" s="112"/>
      <c r="E154" s="112"/>
      <c r="F154" s="112"/>
      <c r="G154" s="112"/>
      <c r="H154" s="112"/>
      <c r="I154" s="112"/>
      <c r="J154" s="112"/>
      <c r="K154" s="112"/>
      <c r="L154" s="112"/>
      <c r="M154" s="112"/>
      <c r="N154" s="112"/>
      <c r="O154" s="112"/>
      <c r="P154" s="112"/>
      <c r="Q154" s="112"/>
      <c r="R154" s="112"/>
      <c r="S154" s="112"/>
      <c r="T154" s="112"/>
      <c r="U154" s="112"/>
      <c r="V154" s="112"/>
      <c r="W154" s="115" t="s">
        <v>93</v>
      </c>
      <c r="X154" s="112"/>
      <c r="Y154" s="112"/>
      <c r="Z154" s="112"/>
      <c r="AA154" s="1"/>
      <c r="AB154" s="1"/>
      <c r="AC154" s="1"/>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c r="CS154" s="2"/>
      <c r="CT154" s="2"/>
      <c r="CU154" s="2"/>
      <c r="CV154" s="2"/>
      <c r="CW154" s="2"/>
      <c r="CX154" s="2"/>
      <c r="CY154" s="2"/>
      <c r="CZ154" s="2"/>
      <c r="DA154" s="2"/>
      <c r="DB154" s="2"/>
      <c r="DC154" s="2"/>
      <c r="DD154" s="2"/>
      <c r="DE154" s="2"/>
      <c r="DF154" s="2"/>
      <c r="DG154"/>
      <c r="DH154"/>
    </row>
    <row r="155" spans="1:112" ht="20" customHeight="1" x14ac:dyDescent="0.2">
      <c r="A155" s="1"/>
      <c r="B155" s="77" t="s">
        <v>94</v>
      </c>
      <c r="C155" s="125">
        <f>MAX(MAX(MAX(AE272:BB272),-MIN(AE272:BB272)),MAX(MAX(BF272:CC272),-MIN(BF272:CC272)),MAX(MAX(CG272:DD272),-MIN(CG272:DD272)))</f>
        <v>0</v>
      </c>
      <c r="D155" s="104"/>
      <c r="E155" s="104"/>
      <c r="F155" s="104"/>
      <c r="G155" s="104"/>
      <c r="H155" s="104"/>
      <c r="I155" s="104"/>
      <c r="J155" s="104"/>
      <c r="K155" s="104"/>
      <c r="L155" s="104"/>
      <c r="M155" s="104"/>
      <c r="N155" s="104"/>
      <c r="O155" s="104"/>
      <c r="P155" s="104"/>
      <c r="Q155" s="104"/>
      <c r="R155" s="104"/>
      <c r="S155" s="104"/>
      <c r="T155" s="104"/>
      <c r="U155" s="104"/>
      <c r="V155" s="104"/>
      <c r="W155" s="123" t="str">
        <f t="shared" ref="W155:W163" si="79">IF(ROUND(C155,2)=0,"PASS","FAIL")</f>
        <v>PASS</v>
      </c>
      <c r="X155" s="104"/>
      <c r="Y155" s="104"/>
      <c r="Z155" s="104"/>
      <c r="AA155" s="1"/>
      <c r="AB155" s="1"/>
      <c r="AC155" s="1"/>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c r="CS155" s="2"/>
      <c r="CT155" s="2"/>
      <c r="CU155" s="2"/>
      <c r="CV155" s="2"/>
      <c r="CW155" s="2"/>
      <c r="CX155" s="2"/>
      <c r="CY155" s="2"/>
      <c r="CZ155" s="2"/>
      <c r="DA155" s="2"/>
      <c r="DB155" s="2"/>
      <c r="DC155" s="2"/>
      <c r="DD155" s="2"/>
      <c r="DE155" s="2"/>
      <c r="DF155" s="2"/>
      <c r="DG155"/>
      <c r="DH155"/>
    </row>
    <row r="156" spans="1:112" ht="20" customHeight="1" x14ac:dyDescent="0.2">
      <c r="A156" s="1"/>
      <c r="B156" s="77" t="s">
        <v>95</v>
      </c>
      <c r="C156" s="125">
        <f>MAX(MAX(MAX(AE271:BB271),-MIN(AE271:BB271)),MAX(MAX(BF271:CC271),-MIN(BF271:CC271)),MAX(MAX(CG271:DD271),-MIN(CG271:DD271)))</f>
        <v>0</v>
      </c>
      <c r="D156" s="104"/>
      <c r="E156" s="104"/>
      <c r="F156" s="104"/>
      <c r="G156" s="104"/>
      <c r="H156" s="104"/>
      <c r="I156" s="104"/>
      <c r="J156" s="104"/>
      <c r="K156" s="104"/>
      <c r="L156" s="104"/>
      <c r="M156" s="104"/>
      <c r="N156" s="104"/>
      <c r="O156" s="104"/>
      <c r="P156" s="104"/>
      <c r="Q156" s="104"/>
      <c r="R156" s="104"/>
      <c r="S156" s="104"/>
      <c r="T156" s="104"/>
      <c r="U156" s="104"/>
      <c r="V156" s="104"/>
      <c r="W156" s="123" t="str">
        <f t="shared" si="79"/>
        <v>PASS</v>
      </c>
      <c r="X156" s="104"/>
      <c r="Y156" s="104"/>
      <c r="Z156" s="104"/>
      <c r="AA156" s="1"/>
      <c r="AB156" s="1"/>
      <c r="AC156" s="1"/>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c r="CS156" s="2"/>
      <c r="CT156" s="2"/>
      <c r="CU156" s="2"/>
      <c r="CV156" s="2"/>
      <c r="CW156" s="2"/>
      <c r="CX156" s="2"/>
      <c r="CY156" s="2"/>
      <c r="CZ156" s="2"/>
      <c r="DA156" s="2"/>
      <c r="DB156" s="2"/>
      <c r="DC156" s="2"/>
      <c r="DD156" s="2"/>
      <c r="DE156" s="2"/>
      <c r="DF156" s="2"/>
      <c r="DG156"/>
      <c r="DH156"/>
    </row>
    <row r="157" spans="1:112" ht="20" customHeight="1" x14ac:dyDescent="0.2">
      <c r="A157" s="1"/>
      <c r="B157" s="77" t="s">
        <v>96</v>
      </c>
      <c r="C157" s="125">
        <f>MAX(MAX(MAX(AE273:BB273),-MIN(AE273:BB273)),MAX(MAX(BF273:CC273),-MIN(BF273:CC273)),MAX(MAX(CG273:DD273),-MIN(CG273:DD273)))</f>
        <v>0</v>
      </c>
      <c r="D157" s="104"/>
      <c r="E157" s="104"/>
      <c r="F157" s="104"/>
      <c r="G157" s="104"/>
      <c r="H157" s="104"/>
      <c r="I157" s="104"/>
      <c r="J157" s="104"/>
      <c r="K157" s="104"/>
      <c r="L157" s="104"/>
      <c r="M157" s="104"/>
      <c r="N157" s="104"/>
      <c r="O157" s="104"/>
      <c r="P157" s="104"/>
      <c r="Q157" s="104"/>
      <c r="R157" s="104"/>
      <c r="S157" s="104"/>
      <c r="T157" s="104"/>
      <c r="U157" s="104"/>
      <c r="V157" s="104"/>
      <c r="W157" s="123" t="str">
        <f t="shared" si="79"/>
        <v>PASS</v>
      </c>
      <c r="X157" s="104"/>
      <c r="Y157" s="104"/>
      <c r="Z157" s="104"/>
      <c r="AA157" s="1"/>
      <c r="AB157" s="1"/>
      <c r="AC157" s="1"/>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c r="CS157" s="2"/>
      <c r="CT157" s="2"/>
      <c r="CU157" s="2"/>
      <c r="CV157" s="2"/>
      <c r="CW157" s="2"/>
      <c r="CX157" s="2"/>
      <c r="CY157" s="2"/>
      <c r="CZ157" s="2"/>
      <c r="DA157" s="2"/>
      <c r="DB157" s="2"/>
      <c r="DC157" s="2"/>
      <c r="DD157" s="2"/>
      <c r="DE157" s="2"/>
      <c r="DF157" s="2"/>
      <c r="DG157"/>
      <c r="DH157"/>
    </row>
    <row r="158" spans="1:112" ht="20" customHeight="1" x14ac:dyDescent="0.2">
      <c r="A158" s="1"/>
      <c r="B158" s="77" t="s">
        <v>97</v>
      </c>
      <c r="C158" s="125">
        <f>MAX(MAX(MAX(AE274:BB274),-MIN(AE274:BB274)),MAX(MAX(BF274:CC274),-MIN(BF274:CC274)),MAX(MAX(CG274:DD274),-MIN(CG274:DD274)))</f>
        <v>0</v>
      </c>
      <c r="D158" s="104"/>
      <c r="E158" s="104"/>
      <c r="F158" s="104"/>
      <c r="G158" s="104"/>
      <c r="H158" s="104"/>
      <c r="I158" s="104"/>
      <c r="J158" s="104"/>
      <c r="K158" s="104"/>
      <c r="L158" s="104"/>
      <c r="M158" s="104"/>
      <c r="N158" s="104"/>
      <c r="O158" s="104"/>
      <c r="P158" s="104"/>
      <c r="Q158" s="104"/>
      <c r="R158" s="104"/>
      <c r="S158" s="104"/>
      <c r="T158" s="104"/>
      <c r="U158" s="104"/>
      <c r="V158" s="104"/>
      <c r="W158" s="123" t="str">
        <f t="shared" si="79"/>
        <v>PASS</v>
      </c>
      <c r="X158" s="104"/>
      <c r="Y158" s="104"/>
      <c r="Z158" s="104"/>
      <c r="AA158" s="1"/>
      <c r="AB158" s="1"/>
      <c r="AC158" s="1"/>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c r="CS158" s="2"/>
      <c r="CT158" s="2"/>
      <c r="CU158" s="2"/>
      <c r="CV158" s="2"/>
      <c r="CW158" s="2"/>
      <c r="CX158" s="2"/>
      <c r="CY158" s="2"/>
      <c r="CZ158" s="2"/>
      <c r="DA158" s="2"/>
      <c r="DB158" s="2"/>
      <c r="DC158" s="2"/>
      <c r="DD158" s="2"/>
      <c r="DE158" s="2"/>
      <c r="DF158" s="2"/>
      <c r="DG158"/>
      <c r="DH158"/>
    </row>
    <row r="159" spans="1:112" ht="20" customHeight="1" x14ac:dyDescent="0.2">
      <c r="A159" s="1"/>
      <c r="B159" s="77" t="s">
        <v>98</v>
      </c>
      <c r="C159" s="125">
        <f>MAX(MAX(MAX(AE275:BB275),-MIN(AE275:BB275)),MAX(MAX(BF275:CC275),-MIN(BF275:CC275)),MAX(MAX(CG275:DD275),-MIN(CG275:DD275)))</f>
        <v>0</v>
      </c>
      <c r="D159" s="104"/>
      <c r="E159" s="104"/>
      <c r="F159" s="104"/>
      <c r="G159" s="104"/>
      <c r="H159" s="104"/>
      <c r="I159" s="104"/>
      <c r="J159" s="104"/>
      <c r="K159" s="104"/>
      <c r="L159" s="104"/>
      <c r="M159" s="104"/>
      <c r="N159" s="104"/>
      <c r="O159" s="104"/>
      <c r="P159" s="104"/>
      <c r="Q159" s="104"/>
      <c r="R159" s="104"/>
      <c r="S159" s="104"/>
      <c r="T159" s="104"/>
      <c r="U159" s="104"/>
      <c r="V159" s="104"/>
      <c r="W159" s="123" t="str">
        <f t="shared" si="79"/>
        <v>PASS</v>
      </c>
      <c r="X159" s="104"/>
      <c r="Y159" s="104"/>
      <c r="Z159" s="104"/>
      <c r="AA159" s="1"/>
      <c r="AB159" s="1"/>
      <c r="AC159" s="1"/>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c r="CS159" s="2"/>
      <c r="CT159" s="2"/>
      <c r="CU159" s="2"/>
      <c r="CV159" s="2"/>
      <c r="CW159" s="2"/>
      <c r="CX159" s="2"/>
      <c r="CY159" s="2"/>
      <c r="CZ159" s="2"/>
      <c r="DA159" s="2"/>
      <c r="DB159" s="2"/>
      <c r="DC159" s="2"/>
      <c r="DD159" s="2"/>
      <c r="DE159" s="2"/>
      <c r="DF159" s="2"/>
      <c r="DG159"/>
      <c r="DH159"/>
    </row>
    <row r="160" spans="1:112" ht="20" customHeight="1" x14ac:dyDescent="0.2">
      <c r="A160" s="1"/>
      <c r="B160" s="77" t="s">
        <v>99</v>
      </c>
      <c r="C160" s="125">
        <f>MAX(MAX(MAX(AE278:BB278),-MIN(AE278:BB278)),MAX(MAX(BF278:CC278),-MIN(BF278:CC278)),MAX(MAX(CG278:DD278),-MIN(CG278:DD278)))</f>
        <v>0</v>
      </c>
      <c r="D160" s="104"/>
      <c r="E160" s="104"/>
      <c r="F160" s="104"/>
      <c r="G160" s="104"/>
      <c r="H160" s="104"/>
      <c r="I160" s="104"/>
      <c r="J160" s="104"/>
      <c r="K160" s="104"/>
      <c r="L160" s="104"/>
      <c r="M160" s="104"/>
      <c r="N160" s="104"/>
      <c r="O160" s="104"/>
      <c r="P160" s="104"/>
      <c r="Q160" s="104"/>
      <c r="R160" s="104"/>
      <c r="S160" s="104"/>
      <c r="T160" s="104"/>
      <c r="U160" s="104"/>
      <c r="V160" s="104"/>
      <c r="W160" s="123" t="str">
        <f t="shared" si="79"/>
        <v>PASS</v>
      </c>
      <c r="X160" s="104"/>
      <c r="Y160" s="104"/>
      <c r="Z160" s="104"/>
      <c r="AA160" s="1"/>
      <c r="AB160" s="1"/>
      <c r="AC160" s="1"/>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c r="CS160" s="2"/>
      <c r="CT160" s="2"/>
      <c r="CU160" s="2"/>
      <c r="CV160" s="2"/>
      <c r="CW160" s="2"/>
      <c r="CX160" s="2"/>
      <c r="CY160" s="2"/>
      <c r="CZ160" s="2"/>
      <c r="DA160" s="2"/>
      <c r="DB160" s="2"/>
      <c r="DC160" s="2"/>
      <c r="DD160" s="2"/>
      <c r="DE160" s="2"/>
      <c r="DF160" s="2"/>
      <c r="DG160"/>
      <c r="DH160"/>
    </row>
    <row r="161" spans="1:112" ht="20" customHeight="1" x14ac:dyDescent="0.2">
      <c r="A161" s="1"/>
      <c r="B161" s="77" t="s">
        <v>100</v>
      </c>
      <c r="C161" s="125">
        <f>MAX(MAX(MAX(AE276:BB276),-MIN(AE276:BB276)),MAX(MAX(BF276:CC276),-MIN(BF276:CC276)),MAX(MAX(CG276:DD276),-MIN(CG276:DD276)))</f>
        <v>0</v>
      </c>
      <c r="D161" s="104"/>
      <c r="E161" s="104"/>
      <c r="F161" s="104"/>
      <c r="G161" s="104"/>
      <c r="H161" s="104"/>
      <c r="I161" s="104"/>
      <c r="J161" s="104"/>
      <c r="K161" s="104"/>
      <c r="L161" s="104"/>
      <c r="M161" s="104"/>
      <c r="N161" s="104"/>
      <c r="O161" s="104"/>
      <c r="P161" s="104"/>
      <c r="Q161" s="104"/>
      <c r="R161" s="104"/>
      <c r="S161" s="104"/>
      <c r="T161" s="104"/>
      <c r="U161" s="104"/>
      <c r="V161" s="104"/>
      <c r="W161" s="123" t="str">
        <f t="shared" si="79"/>
        <v>PASS</v>
      </c>
      <c r="X161" s="104"/>
      <c r="Y161" s="104"/>
      <c r="Z161" s="104"/>
      <c r="AA161" s="1"/>
      <c r="AB161" s="1"/>
      <c r="AC161" s="1"/>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c r="CS161" s="2"/>
      <c r="CT161" s="2"/>
      <c r="CU161" s="2"/>
      <c r="CV161" s="2"/>
      <c r="CW161" s="2"/>
      <c r="CX161" s="2"/>
      <c r="CY161" s="2"/>
      <c r="CZ161" s="2"/>
      <c r="DA161" s="2"/>
      <c r="DB161" s="2"/>
      <c r="DC161" s="2"/>
      <c r="DD161" s="2"/>
      <c r="DE161" s="2"/>
      <c r="DF161" s="2"/>
      <c r="DG161"/>
      <c r="DH161"/>
    </row>
    <row r="162" spans="1:112" ht="20" customHeight="1" x14ac:dyDescent="0.2">
      <c r="A162" s="1"/>
      <c r="B162" s="77" t="s">
        <v>101</v>
      </c>
      <c r="C162" s="125">
        <f>MAX(MAX(MAX(AE277:BB277),-MIN(AE277:BB277)),MAX(MAX(BF277:CC277),-MIN(BF277:CC277)),MAX(MAX(CG277:DD277),-MIN(CG277:DD277)))</f>
        <v>0</v>
      </c>
      <c r="D162" s="104"/>
      <c r="E162" s="104"/>
      <c r="F162" s="104"/>
      <c r="G162" s="104"/>
      <c r="H162" s="104"/>
      <c r="I162" s="104"/>
      <c r="J162" s="104"/>
      <c r="K162" s="104"/>
      <c r="L162" s="104"/>
      <c r="M162" s="104"/>
      <c r="N162" s="104"/>
      <c r="O162" s="104"/>
      <c r="P162" s="104"/>
      <c r="Q162" s="104"/>
      <c r="R162" s="104"/>
      <c r="S162" s="104"/>
      <c r="T162" s="104"/>
      <c r="U162" s="104"/>
      <c r="V162" s="104"/>
      <c r="W162" s="123" t="str">
        <f t="shared" si="79"/>
        <v>PASS</v>
      </c>
      <c r="X162" s="104"/>
      <c r="Y162" s="104"/>
      <c r="Z162" s="104"/>
      <c r="AA162" s="1"/>
      <c r="AB162" s="1"/>
      <c r="AC162" s="1"/>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c r="CS162" s="2"/>
      <c r="CT162" s="2"/>
      <c r="CU162" s="2"/>
      <c r="CV162" s="2"/>
      <c r="CW162" s="2"/>
      <c r="CX162" s="2"/>
      <c r="CY162" s="2"/>
      <c r="CZ162" s="2"/>
      <c r="DA162" s="2"/>
      <c r="DB162" s="2"/>
      <c r="DC162" s="2"/>
      <c r="DD162" s="2"/>
      <c r="DE162" s="2"/>
      <c r="DF162" s="2"/>
      <c r="DG162"/>
      <c r="DH162"/>
    </row>
    <row r="163" spans="1:112" ht="20" customHeight="1" x14ac:dyDescent="0.2">
      <c r="A163" s="1"/>
      <c r="B163" s="77" t="s">
        <v>102</v>
      </c>
      <c r="C163" s="125">
        <f>ROUND(ABS((smp_open_cash+smp_open_ar+smp_open_oca+smp_open_fa)-(smp_open_ap+smp_open_ocl+smp_open_tax_pay+smp_open_debt+smp_open_sc+smp_open_re)),2)</f>
        <v>0</v>
      </c>
      <c r="D163" s="104"/>
      <c r="E163" s="104"/>
      <c r="F163" s="104"/>
      <c r="G163" s="104"/>
      <c r="H163" s="104"/>
      <c r="I163" s="104"/>
      <c r="J163" s="104"/>
      <c r="K163" s="104"/>
      <c r="L163" s="104"/>
      <c r="M163" s="104"/>
      <c r="N163" s="104"/>
      <c r="O163" s="104"/>
      <c r="P163" s="104"/>
      <c r="Q163" s="104"/>
      <c r="R163" s="104"/>
      <c r="S163" s="104"/>
      <c r="T163" s="104"/>
      <c r="U163" s="104"/>
      <c r="V163" s="104"/>
      <c r="W163" s="123" t="str">
        <f t="shared" si="79"/>
        <v>PASS</v>
      </c>
      <c r="X163" s="104"/>
      <c r="Y163" s="104"/>
      <c r="Z163" s="104"/>
      <c r="AA163" s="1"/>
      <c r="AB163" s="1"/>
      <c r="AC163" s="1"/>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c r="CS163" s="2"/>
      <c r="CT163" s="2"/>
      <c r="CU163" s="2"/>
      <c r="CV163" s="2"/>
      <c r="CW163" s="2"/>
      <c r="CX163" s="2"/>
      <c r="CY163" s="2"/>
      <c r="CZ163" s="2"/>
      <c r="DA163" s="2"/>
      <c r="DB163" s="2"/>
      <c r="DC163" s="2"/>
      <c r="DD163" s="2"/>
      <c r="DE163" s="2"/>
      <c r="DF163" s="2"/>
      <c r="DG163"/>
      <c r="DH163"/>
    </row>
    <row r="164" spans="1:112" x14ac:dyDescent="0.2">
      <c r="A164" s="1"/>
      <c r="B164" s="77" t="s">
        <v>406</v>
      </c>
      <c r="C164" s="125">
        <f>MAX(MAX(MAX(AE283:BB283),-MIN(AE283:BB283)),MAX(MAX(BF283:CC283),-MIN(BF283:CC283)),MAX(MAX(CG283:DD283),-MIN(CG283:DD283)))</f>
        <v>0</v>
      </c>
      <c r="D164" s="104"/>
      <c r="E164" s="104"/>
      <c r="F164" s="104"/>
      <c r="G164" s="104"/>
      <c r="H164" s="104"/>
      <c r="I164" s="104"/>
      <c r="J164" s="104"/>
      <c r="K164" s="104"/>
      <c r="L164" s="104"/>
      <c r="M164" s="104"/>
      <c r="N164" s="104"/>
      <c r="O164" s="104"/>
      <c r="P164" s="104"/>
      <c r="Q164" s="104"/>
      <c r="R164" s="104"/>
      <c r="S164" s="104"/>
      <c r="T164" s="104"/>
      <c r="U164" s="104"/>
      <c r="V164" s="104"/>
      <c r="W164" s="79" t="str">
        <f>IF(ROUND(C164,2)=0,"PASS","FAIL")</f>
        <v>PASS</v>
      </c>
      <c r="X164" s="1"/>
      <c r="Y164" s="1"/>
      <c r="Z164" s="1"/>
      <c r="AA164" s="1"/>
      <c r="AB164" s="1"/>
      <c r="AC164" s="1"/>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c r="CS164" s="2"/>
      <c r="CT164" s="2"/>
      <c r="CU164" s="2"/>
      <c r="CV164" s="2"/>
      <c r="CW164" s="2"/>
      <c r="CX164" s="2"/>
      <c r="CY164" s="2"/>
      <c r="CZ164" s="2"/>
      <c r="DA164" s="2"/>
      <c r="DB164" s="2"/>
      <c r="DC164" s="2"/>
      <c r="DD164" s="2"/>
      <c r="DE164" s="2"/>
      <c r="DF164" s="2"/>
      <c r="DG164"/>
      <c r="DH164"/>
    </row>
    <row r="165" spans="1:112" ht="34" customHeight="1" x14ac:dyDescent="0.2">
      <c r="A165" s="1"/>
      <c r="B165" s="83" t="s">
        <v>103</v>
      </c>
      <c r="C165" s="135" t="str">
        <f>IF(OR(ISERROR(C155),ISERROR(C156),ISERROR(C157),ISERROR(C158),ISERROR(C159),ISERROR(C160),ISERROR(C161),ISERROR(C162),ISERROR(C163),ISERROR(C164)),"CHECK INPUTS",IF(AND(W155="PASS",W156="PASS",W157="PASS",W158="PASS",W159="PASS",W160="PASS",W161="PASS",W162="PASS",W163="PASS",W164="PASS"),"PASS","FAIL"))</f>
        <v>PASS</v>
      </c>
      <c r="D165" s="104"/>
      <c r="E165" s="104"/>
      <c r="F165" s="104"/>
      <c r="G165" s="104"/>
      <c r="H165" s="104"/>
      <c r="I165" s="104"/>
      <c r="J165" s="104"/>
      <c r="K165" s="104"/>
      <c r="L165" s="104"/>
      <c r="M165" s="104"/>
      <c r="N165" s="104"/>
      <c r="O165" s="104"/>
      <c r="P165" s="104"/>
      <c r="Q165" s="104"/>
      <c r="R165" s="104"/>
      <c r="S165" s="104"/>
      <c r="T165" s="104"/>
      <c r="U165" s="104"/>
      <c r="V165" s="104"/>
      <c r="W165" s="121" t="s">
        <v>104</v>
      </c>
      <c r="X165" s="104"/>
      <c r="Y165" s="104"/>
      <c r="Z165" s="104"/>
      <c r="AA165" s="1"/>
      <c r="AB165" s="1"/>
      <c r="AC165" s="1"/>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c r="CS165" s="2"/>
      <c r="CT165" s="2"/>
      <c r="CU165" s="2"/>
      <c r="CV165" s="2"/>
      <c r="CW165" s="2"/>
      <c r="CX165" s="2"/>
      <c r="CY165" s="2"/>
      <c r="CZ165" s="2"/>
      <c r="DA165" s="2"/>
      <c r="DB165" s="2"/>
      <c r="DC165" s="2"/>
      <c r="DD165" s="2"/>
      <c r="DE165" s="2"/>
      <c r="DF165" s="2"/>
      <c r="DG165"/>
      <c r="DH165"/>
    </row>
    <row r="166" spans="1:112" x14ac:dyDescent="0.2">
      <c r="A166" s="1"/>
      <c r="B166" s="141" t="s">
        <v>445</v>
      </c>
      <c r="C166" s="140"/>
      <c r="D166" s="140"/>
      <c r="E166" s="140"/>
      <c r="F166" s="140"/>
      <c r="G166" s="140"/>
      <c r="H166" s="140"/>
      <c r="I166" s="140"/>
      <c r="J166" s="6"/>
      <c r="K166" s="1"/>
      <c r="L166" s="1"/>
      <c r="M166" s="1"/>
      <c r="N166" s="1"/>
      <c r="O166" s="1"/>
      <c r="P166" s="1"/>
      <c r="Q166" s="1"/>
      <c r="R166" s="1"/>
      <c r="S166" s="1"/>
      <c r="T166" s="1"/>
      <c r="U166" s="1"/>
      <c r="V166" s="1"/>
      <c r="W166" s="1"/>
      <c r="X166" s="1"/>
      <c r="Y166" s="1"/>
      <c r="Z166" s="1"/>
      <c r="AA166" s="1"/>
      <c r="AB166" s="1"/>
      <c r="AC166" s="1"/>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c r="CS166" s="2"/>
      <c r="CT166" s="2"/>
      <c r="CU166" s="2"/>
      <c r="CV166" s="2"/>
      <c r="CW166" s="2"/>
      <c r="CX166" s="2"/>
      <c r="CY166" s="2"/>
      <c r="CZ166" s="2"/>
      <c r="DA166" s="2"/>
      <c r="DB166" s="2"/>
      <c r="DC166" s="2"/>
      <c r="DD166" s="2"/>
      <c r="DE166" s="2"/>
      <c r="DF166" s="2"/>
      <c r="DG166"/>
      <c r="DH166"/>
    </row>
    <row r="167" spans="1:112" ht="22" customHeight="1" x14ac:dyDescent="0.2">
      <c r="A167" s="1"/>
      <c r="B167" s="4" t="s">
        <v>105</v>
      </c>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3" t="s">
        <v>106</v>
      </c>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c r="CS167" s="2"/>
      <c r="CT167" s="2"/>
      <c r="CU167" s="2"/>
      <c r="CV167" s="2"/>
      <c r="CW167" s="2"/>
      <c r="CX167" s="2"/>
      <c r="CY167" s="2"/>
      <c r="CZ167" s="2"/>
      <c r="DA167" s="2"/>
      <c r="DB167" s="2"/>
      <c r="DC167" s="2"/>
      <c r="DD167" s="2"/>
      <c r="DE167" s="2"/>
      <c r="DF167" s="2"/>
      <c r="DG167"/>
      <c r="DH167"/>
    </row>
    <row r="168" spans="1:112" x14ac:dyDescent="0.2">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c r="CS168" s="2"/>
      <c r="CT168" s="2"/>
      <c r="CU168" s="2"/>
      <c r="CV168" s="2"/>
      <c r="CW168" s="2"/>
      <c r="CX168" s="2"/>
      <c r="CY168" s="2"/>
      <c r="CZ168" s="2"/>
      <c r="DA168" s="2"/>
      <c r="DB168" s="2"/>
      <c r="DC168" s="2"/>
      <c r="DD168" s="2"/>
      <c r="DE168" s="2"/>
      <c r="DF168" s="2"/>
      <c r="DG168"/>
      <c r="DH168"/>
    </row>
    <row r="169" spans="1:112" ht="22" customHeight="1" x14ac:dyDescent="0.2">
      <c r="A169" s="1"/>
      <c r="B169" s="57" t="s">
        <v>377</v>
      </c>
      <c r="C169" s="20"/>
      <c r="D169" s="20"/>
      <c r="E169" s="20"/>
      <c r="F169" s="20"/>
      <c r="G169" s="20"/>
      <c r="H169" s="20"/>
      <c r="I169" s="20"/>
      <c r="J169" s="20"/>
      <c r="K169" s="20"/>
      <c r="L169" s="20"/>
      <c r="M169" s="20"/>
      <c r="N169" s="20"/>
      <c r="O169" s="20"/>
      <c r="P169" s="20"/>
      <c r="Q169" s="20"/>
      <c r="R169" s="20"/>
      <c r="S169" s="20"/>
      <c r="T169" s="20"/>
      <c r="U169" s="20"/>
      <c r="V169" s="20"/>
      <c r="W169" s="20"/>
      <c r="X169" s="20"/>
      <c r="Y169" s="20"/>
      <c r="Z169" s="20"/>
      <c r="AA169" s="20"/>
      <c r="AB169" s="20"/>
      <c r="AC169" s="21" t="s">
        <v>378</v>
      </c>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c r="CS169" s="2"/>
      <c r="CT169" s="2"/>
      <c r="CU169" s="2"/>
      <c r="CV169" s="2"/>
      <c r="CW169" s="2"/>
      <c r="CX169" s="2"/>
      <c r="CY169" s="2"/>
      <c r="CZ169" s="2"/>
      <c r="DA169" s="2"/>
      <c r="DB169" s="2"/>
      <c r="DC169" s="2"/>
      <c r="DD169" s="2"/>
      <c r="DE169" s="2"/>
      <c r="DF169" s="2"/>
      <c r="DG169"/>
      <c r="DH169"/>
    </row>
    <row r="170" spans="1:112" ht="22" customHeight="1" x14ac:dyDescent="0.2">
      <c r="A170" s="1"/>
      <c r="B170" s="30" t="s">
        <v>379</v>
      </c>
      <c r="C170" s="138" t="s">
        <v>380</v>
      </c>
      <c r="D170" s="104"/>
      <c r="E170" s="104"/>
      <c r="F170" s="104"/>
      <c r="G170" s="104"/>
      <c r="H170" s="104"/>
      <c r="I170" s="104"/>
      <c r="J170" s="104"/>
      <c r="K170" s="104"/>
      <c r="L170" s="104"/>
      <c r="M170" s="104"/>
      <c r="N170" s="104"/>
      <c r="O170" s="104"/>
      <c r="P170" s="104"/>
      <c r="Q170" s="104"/>
      <c r="R170" s="104"/>
      <c r="S170" s="104"/>
      <c r="T170" s="104"/>
      <c r="U170" s="104"/>
      <c r="V170" s="104"/>
      <c r="W170" s="104"/>
      <c r="X170" s="104"/>
      <c r="Y170" s="104"/>
      <c r="Z170" s="104"/>
      <c r="AA170" s="104"/>
      <c r="AB170" s="104"/>
      <c r="AC170" s="104"/>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c r="CS170" s="2"/>
      <c r="CT170" s="2"/>
      <c r="CU170" s="2"/>
      <c r="CV170" s="2"/>
      <c r="CW170" s="2"/>
      <c r="CX170" s="2"/>
      <c r="CY170" s="2"/>
      <c r="CZ170" s="2"/>
      <c r="DA170" s="2"/>
      <c r="DB170" s="2"/>
      <c r="DC170" s="2"/>
      <c r="DD170" s="2"/>
      <c r="DE170" s="2"/>
      <c r="DF170" s="2"/>
      <c r="DG170"/>
      <c r="DH170"/>
    </row>
    <row r="171" spans="1:112" ht="22" customHeight="1" x14ac:dyDescent="0.2">
      <c r="A171" s="1"/>
      <c r="B171" s="30" t="s">
        <v>381</v>
      </c>
      <c r="C171" s="138" t="s">
        <v>382</v>
      </c>
      <c r="D171" s="104"/>
      <c r="E171" s="104"/>
      <c r="F171" s="104"/>
      <c r="G171" s="104"/>
      <c r="H171" s="104"/>
      <c r="I171" s="104"/>
      <c r="J171" s="104"/>
      <c r="K171" s="104"/>
      <c r="L171" s="104"/>
      <c r="M171" s="104"/>
      <c r="N171" s="104"/>
      <c r="O171" s="104"/>
      <c r="P171" s="104"/>
      <c r="Q171" s="104"/>
      <c r="R171" s="104"/>
      <c r="S171" s="104"/>
      <c r="T171" s="104"/>
      <c r="U171" s="104"/>
      <c r="V171" s="104"/>
      <c r="W171" s="104"/>
      <c r="X171" s="104"/>
      <c r="Y171" s="104"/>
      <c r="Z171" s="104"/>
      <c r="AA171" s="104"/>
      <c r="AB171" s="104"/>
      <c r="AC171" s="104"/>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c r="CS171" s="2"/>
      <c r="CT171" s="2"/>
      <c r="CU171" s="2"/>
      <c r="CV171" s="2"/>
      <c r="CW171" s="2"/>
      <c r="CX171" s="2"/>
      <c r="CY171" s="2"/>
      <c r="CZ171" s="2"/>
      <c r="DA171" s="2"/>
      <c r="DB171" s="2"/>
      <c r="DC171" s="2"/>
      <c r="DD171" s="2"/>
      <c r="DE171" s="2"/>
      <c r="DF171" s="2"/>
      <c r="DG171"/>
      <c r="DH171"/>
    </row>
    <row r="172" spans="1:112" ht="22" customHeight="1" x14ac:dyDescent="0.2">
      <c r="A172" s="1"/>
      <c r="B172" s="30" t="s">
        <v>383</v>
      </c>
      <c r="C172" s="138" t="s">
        <v>384</v>
      </c>
      <c r="D172" s="104"/>
      <c r="E172" s="104"/>
      <c r="F172" s="104"/>
      <c r="G172" s="104"/>
      <c r="H172" s="104"/>
      <c r="I172" s="104"/>
      <c r="J172" s="104"/>
      <c r="K172" s="104"/>
      <c r="L172" s="104"/>
      <c r="M172" s="104"/>
      <c r="N172" s="104"/>
      <c r="O172" s="104"/>
      <c r="P172" s="104"/>
      <c r="Q172" s="104"/>
      <c r="R172" s="104"/>
      <c r="S172" s="104"/>
      <c r="T172" s="104"/>
      <c r="U172" s="104"/>
      <c r="V172" s="104"/>
      <c r="W172" s="104"/>
      <c r="X172" s="104"/>
      <c r="Y172" s="104"/>
      <c r="Z172" s="104"/>
      <c r="AA172" s="104"/>
      <c r="AB172" s="104"/>
      <c r="AC172" s="104"/>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c r="CS172" s="2"/>
      <c r="CT172" s="2"/>
      <c r="CU172" s="2"/>
      <c r="CV172" s="2"/>
      <c r="CW172" s="2"/>
      <c r="CX172" s="2"/>
      <c r="CY172" s="2"/>
      <c r="CZ172" s="2"/>
      <c r="DA172" s="2"/>
      <c r="DB172" s="2"/>
      <c r="DC172" s="2"/>
      <c r="DD172" s="2"/>
      <c r="DE172" s="2"/>
      <c r="DF172" s="2"/>
      <c r="DG172"/>
      <c r="DH172"/>
    </row>
    <row r="173" spans="1:112" ht="22" customHeight="1" x14ac:dyDescent="0.2">
      <c r="A173" s="1"/>
      <c r="B173" s="30" t="s">
        <v>385</v>
      </c>
      <c r="C173" s="138" t="s">
        <v>386</v>
      </c>
      <c r="D173" s="104"/>
      <c r="E173" s="104"/>
      <c r="F173" s="104"/>
      <c r="G173" s="104"/>
      <c r="H173" s="104"/>
      <c r="I173" s="104"/>
      <c r="J173" s="104"/>
      <c r="K173" s="104"/>
      <c r="L173" s="104"/>
      <c r="M173" s="104"/>
      <c r="N173" s="104"/>
      <c r="O173" s="104"/>
      <c r="P173" s="104"/>
      <c r="Q173" s="104"/>
      <c r="R173" s="104"/>
      <c r="S173" s="104"/>
      <c r="T173" s="104"/>
      <c r="U173" s="104"/>
      <c r="V173" s="104"/>
      <c r="W173" s="104"/>
      <c r="X173" s="104"/>
      <c r="Y173" s="104"/>
      <c r="Z173" s="104"/>
      <c r="AA173" s="104"/>
      <c r="AB173" s="104"/>
      <c r="AC173" s="104"/>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c r="CS173" s="2"/>
      <c r="CT173" s="2"/>
      <c r="CU173" s="2"/>
      <c r="CV173" s="2"/>
      <c r="CW173" s="2"/>
      <c r="CX173" s="2"/>
      <c r="CY173" s="2"/>
      <c r="CZ173" s="2"/>
      <c r="DA173" s="2"/>
      <c r="DB173" s="2"/>
      <c r="DC173" s="2"/>
      <c r="DD173" s="2"/>
      <c r="DE173" s="2"/>
      <c r="DF173" s="2"/>
      <c r="DG173"/>
      <c r="DH173"/>
    </row>
    <row r="174" spans="1:112" ht="22" customHeight="1" x14ac:dyDescent="0.2">
      <c r="A174" s="1"/>
      <c r="B174" s="30" t="s">
        <v>387</v>
      </c>
      <c r="C174" s="138" t="s">
        <v>388</v>
      </c>
      <c r="D174" s="104"/>
      <c r="E174" s="104"/>
      <c r="F174" s="104"/>
      <c r="G174" s="104"/>
      <c r="H174" s="104"/>
      <c r="I174" s="104"/>
      <c r="J174" s="104"/>
      <c r="K174" s="104"/>
      <c r="L174" s="104"/>
      <c r="M174" s="104"/>
      <c r="N174" s="104"/>
      <c r="O174" s="104"/>
      <c r="P174" s="104"/>
      <c r="Q174" s="104"/>
      <c r="R174" s="104"/>
      <c r="S174" s="104"/>
      <c r="T174" s="104"/>
      <c r="U174" s="104"/>
      <c r="V174" s="104"/>
      <c r="W174" s="104"/>
      <c r="X174" s="104"/>
      <c r="Y174" s="104"/>
      <c r="Z174" s="104"/>
      <c r="AA174" s="104"/>
      <c r="AB174" s="104"/>
      <c r="AC174" s="104"/>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c r="CS174" s="2"/>
      <c r="CT174" s="2"/>
      <c r="CU174" s="2"/>
      <c r="CV174" s="2"/>
      <c r="CW174" s="2"/>
      <c r="CX174" s="2"/>
      <c r="CY174" s="2"/>
      <c r="CZ174" s="2"/>
      <c r="DA174" s="2"/>
      <c r="DB174" s="2"/>
      <c r="DC174" s="2"/>
      <c r="DD174" s="2"/>
      <c r="DE174" s="2"/>
      <c r="DF174" s="2"/>
      <c r="DG174"/>
      <c r="DH174"/>
    </row>
    <row r="175" spans="1:112" ht="22" customHeight="1" x14ac:dyDescent="0.2">
      <c r="A175" s="1"/>
      <c r="B175" s="30" t="s">
        <v>321</v>
      </c>
      <c r="C175" s="138" t="s">
        <v>389</v>
      </c>
      <c r="D175" s="104"/>
      <c r="E175" s="104"/>
      <c r="F175" s="104"/>
      <c r="G175" s="104"/>
      <c r="H175" s="104"/>
      <c r="I175" s="104"/>
      <c r="J175" s="104"/>
      <c r="K175" s="104"/>
      <c r="L175" s="104"/>
      <c r="M175" s="104"/>
      <c r="N175" s="104"/>
      <c r="O175" s="104"/>
      <c r="P175" s="104"/>
      <c r="Q175" s="104"/>
      <c r="R175" s="104"/>
      <c r="S175" s="104"/>
      <c r="T175" s="104"/>
      <c r="U175" s="104"/>
      <c r="V175" s="104"/>
      <c r="W175" s="104"/>
      <c r="X175" s="104"/>
      <c r="Y175" s="104"/>
      <c r="Z175" s="104"/>
      <c r="AA175" s="104"/>
      <c r="AB175" s="104"/>
      <c r="AC175" s="104"/>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c r="CS175" s="2"/>
      <c r="CT175" s="2"/>
      <c r="CU175" s="2"/>
      <c r="CV175" s="2"/>
      <c r="CW175" s="2"/>
      <c r="CX175" s="2"/>
      <c r="CY175" s="2"/>
      <c r="CZ175" s="2"/>
      <c r="DA175" s="2"/>
      <c r="DB175" s="2"/>
      <c r="DC175" s="2"/>
      <c r="DD175" s="2"/>
      <c r="DE175" s="2"/>
      <c r="DF175" s="2"/>
      <c r="DG175"/>
      <c r="DH175"/>
    </row>
    <row r="176" spans="1:112" ht="22" customHeight="1" x14ac:dyDescent="0.2">
      <c r="A176" s="1"/>
      <c r="B176" s="30" t="s">
        <v>390</v>
      </c>
      <c r="C176" s="138" t="s">
        <v>391</v>
      </c>
      <c r="D176" s="104"/>
      <c r="E176" s="104"/>
      <c r="F176" s="104"/>
      <c r="G176" s="104"/>
      <c r="H176" s="104"/>
      <c r="I176" s="104"/>
      <c r="J176" s="104"/>
      <c r="K176" s="104"/>
      <c r="L176" s="104"/>
      <c r="M176" s="104"/>
      <c r="N176" s="104"/>
      <c r="O176" s="104"/>
      <c r="P176" s="104"/>
      <c r="Q176" s="104"/>
      <c r="R176" s="104"/>
      <c r="S176" s="104"/>
      <c r="T176" s="104"/>
      <c r="U176" s="104"/>
      <c r="V176" s="104"/>
      <c r="W176" s="104"/>
      <c r="X176" s="104"/>
      <c r="Y176" s="104"/>
      <c r="Z176" s="104"/>
      <c r="AA176" s="104"/>
      <c r="AB176" s="104"/>
      <c r="AC176" s="104"/>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c r="CS176" s="2"/>
      <c r="CT176" s="2"/>
      <c r="CU176" s="2"/>
      <c r="CV176" s="2"/>
      <c r="CW176" s="2"/>
      <c r="CX176" s="2"/>
      <c r="CY176" s="2"/>
      <c r="CZ176" s="2"/>
      <c r="DA176" s="2"/>
      <c r="DB176" s="2"/>
      <c r="DC176" s="2"/>
      <c r="DD176" s="2"/>
      <c r="DE176" s="2"/>
      <c r="DF176" s="2"/>
      <c r="DG176"/>
      <c r="DH176"/>
    </row>
    <row r="177" spans="1:112" ht="22" customHeight="1" x14ac:dyDescent="0.2">
      <c r="A177" s="1"/>
      <c r="B177" s="30" t="s">
        <v>392</v>
      </c>
      <c r="C177" s="138" t="s">
        <v>393</v>
      </c>
      <c r="D177" s="104"/>
      <c r="E177" s="104"/>
      <c r="F177" s="104"/>
      <c r="G177" s="104"/>
      <c r="H177" s="104"/>
      <c r="I177" s="104"/>
      <c r="J177" s="104"/>
      <c r="K177" s="104"/>
      <c r="L177" s="104"/>
      <c r="M177" s="104"/>
      <c r="N177" s="104"/>
      <c r="O177" s="104"/>
      <c r="P177" s="104"/>
      <c r="Q177" s="104"/>
      <c r="R177" s="104"/>
      <c r="S177" s="104"/>
      <c r="T177" s="104"/>
      <c r="U177" s="104"/>
      <c r="V177" s="104"/>
      <c r="W177" s="104"/>
      <c r="X177" s="104"/>
      <c r="Y177" s="104"/>
      <c r="Z177" s="104"/>
      <c r="AA177" s="104"/>
      <c r="AB177" s="104"/>
      <c r="AC177" s="104"/>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c r="CS177" s="2"/>
      <c r="CT177" s="2"/>
      <c r="CU177" s="2"/>
      <c r="CV177" s="2"/>
      <c r="CW177" s="2"/>
      <c r="CX177" s="2"/>
      <c r="CY177" s="2"/>
      <c r="CZ177" s="2"/>
      <c r="DA177" s="2"/>
      <c r="DB177" s="2"/>
      <c r="DC177" s="2"/>
      <c r="DD177" s="2"/>
      <c r="DE177" s="2"/>
      <c r="DF177" s="2"/>
      <c r="DG177"/>
      <c r="DH177"/>
    </row>
    <row r="178" spans="1:112" x14ac:dyDescent="0.2">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c r="CS178" s="2"/>
      <c r="CT178" s="2"/>
      <c r="CU178" s="2"/>
      <c r="CV178" s="2"/>
      <c r="CW178" s="2"/>
      <c r="CX178" s="2"/>
      <c r="CY178" s="2"/>
      <c r="CZ178" s="2"/>
      <c r="DA178" s="2"/>
      <c r="DB178" s="2"/>
      <c r="DC178" s="2"/>
      <c r="DD178" s="2"/>
      <c r="DE178" s="2"/>
      <c r="DF178" s="2"/>
      <c r="DG178"/>
      <c r="DH178"/>
    </row>
    <row r="179" spans="1:112" ht="22" hidden="1" customHeight="1" x14ac:dyDescent="0.2">
      <c r="A179" s="1"/>
      <c r="B179" s="139" t="s">
        <v>394</v>
      </c>
      <c r="C179" s="104"/>
      <c r="D179" s="104"/>
      <c r="E179" s="104"/>
      <c r="F179" s="104"/>
      <c r="G179" s="104"/>
      <c r="H179" s="104"/>
      <c r="I179" s="104"/>
      <c r="J179" s="104"/>
      <c r="K179" s="104"/>
      <c r="L179" s="104"/>
      <c r="M179" s="104"/>
      <c r="N179" s="104"/>
      <c r="O179" s="104"/>
      <c r="P179" s="104"/>
      <c r="Q179" s="104"/>
      <c r="R179" s="104"/>
      <c r="S179" s="104"/>
      <c r="T179" s="104"/>
      <c r="U179" s="104"/>
      <c r="V179" s="104"/>
      <c r="W179" s="104"/>
      <c r="X179" s="104"/>
      <c r="Y179" s="104"/>
      <c r="Z179" s="104"/>
      <c r="AA179" s="104"/>
      <c r="AB179" s="104"/>
      <c r="AC179" s="104"/>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c r="CS179" s="2"/>
      <c r="CT179" s="2"/>
      <c r="CU179" s="2"/>
      <c r="CV179" s="2"/>
      <c r="CW179" s="2"/>
      <c r="CX179" s="2"/>
      <c r="CY179" s="2"/>
      <c r="CZ179" s="2"/>
      <c r="DA179" s="2"/>
      <c r="DB179" s="2"/>
      <c r="DC179" s="2"/>
      <c r="DD179" s="2"/>
      <c r="DE179" s="2"/>
      <c r="DF179" s="2"/>
      <c r="DG179"/>
      <c r="DH179"/>
    </row>
    <row r="180" spans="1:112" hidden="1" x14ac:dyDescent="0.2">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2"/>
      <c r="AE180" s="84">
        <f>MATCH(smp_scenario,ref_scn_names,0)</f>
        <v>3</v>
      </c>
      <c r="AF180" s="84">
        <f>MATCH(smp_view,{"Income Statement","Cash Flow","Balance Sheet","All Three"},0)</f>
        <v>4</v>
      </c>
      <c r="AG180" s="84">
        <f>IF(smp_horizon="24 months",24,12)</f>
        <v>24</v>
      </c>
      <c r="AH180" s="84"/>
      <c r="AI180" s="84"/>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c r="CS180" s="2"/>
      <c r="CT180" s="2"/>
      <c r="CU180" s="2"/>
      <c r="CV180" s="2"/>
      <c r="CW180" s="2"/>
      <c r="CX180" s="2"/>
      <c r="CY180" s="2"/>
      <c r="CZ180" s="2"/>
      <c r="DA180" s="2"/>
      <c r="DB180" s="2"/>
      <c r="DC180" s="2"/>
      <c r="DD180" s="2"/>
      <c r="DE180" s="2"/>
      <c r="DF180" s="2"/>
      <c r="DG180"/>
      <c r="DH180"/>
    </row>
    <row r="181" spans="1:112" hidden="1" x14ac:dyDescent="0.2">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c r="CS181" s="2"/>
      <c r="CT181" s="2"/>
      <c r="CU181" s="2"/>
      <c r="CV181" s="2"/>
      <c r="CW181" s="2"/>
      <c r="CX181" s="2"/>
      <c r="CY181" s="2"/>
      <c r="CZ181" s="2"/>
      <c r="DA181" s="2"/>
      <c r="DB181" s="2"/>
      <c r="DC181" s="2"/>
      <c r="DD181" s="2"/>
      <c r="DE181" s="2"/>
      <c r="DF181" s="2"/>
      <c r="DG181"/>
      <c r="DH181"/>
    </row>
    <row r="182" spans="1:112" hidden="1" x14ac:dyDescent="0.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c r="CS182" s="2"/>
      <c r="CT182" s="2"/>
      <c r="CU182" s="2"/>
      <c r="CV182" s="2"/>
      <c r="CW182" s="2"/>
      <c r="CX182" s="2"/>
      <c r="CY182" s="2"/>
      <c r="CZ182" s="2"/>
      <c r="DA182" s="2"/>
      <c r="DB182" s="2"/>
      <c r="DC182" s="2"/>
      <c r="DD182" s="2"/>
      <c r="DE182" s="2"/>
      <c r="DF182" s="2"/>
      <c r="DG182"/>
      <c r="DH182"/>
    </row>
    <row r="183" spans="1:112" hidden="1" x14ac:dyDescent="0.2">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c r="CS183" s="2"/>
      <c r="CT183" s="2"/>
      <c r="CU183" s="2"/>
      <c r="CV183" s="2"/>
      <c r="CW183" s="2"/>
      <c r="CX183" s="2"/>
      <c r="CY183" s="2"/>
      <c r="CZ183" s="2"/>
      <c r="DA183" s="2"/>
      <c r="DB183" s="2"/>
      <c r="DC183" s="2"/>
      <c r="DD183" s="2"/>
      <c r="DE183" s="2"/>
      <c r="DF183" s="2"/>
      <c r="DG183"/>
      <c r="DH183"/>
    </row>
    <row r="184" spans="1:112" hidden="1" x14ac:dyDescent="0.2">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c r="CS184" s="2"/>
      <c r="CT184" s="2"/>
      <c r="CU184" s="2"/>
      <c r="CV184" s="2"/>
      <c r="CW184" s="2"/>
      <c r="CX184" s="2"/>
      <c r="CY184" s="2"/>
      <c r="CZ184" s="2"/>
      <c r="DA184" s="2"/>
      <c r="DB184" s="2"/>
      <c r="DC184" s="2"/>
      <c r="DD184" s="2"/>
      <c r="DE184" s="2"/>
      <c r="DF184" s="2"/>
      <c r="DG184"/>
      <c r="DH184"/>
    </row>
    <row r="185" spans="1:112" hidden="1" x14ac:dyDescent="0.2">
      <c r="A185" s="1"/>
      <c r="B185" s="35" t="s">
        <v>107</v>
      </c>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2"/>
      <c r="AE185" s="69">
        <f>INDEX(smp_rev_sl1,1)*INDEX(ref_scn_rev,1)</f>
        <v>90000</v>
      </c>
      <c r="AF185" s="69">
        <f>INDEX(smp_rev_sl1,2)*INDEX(ref_scn_rev,1)</f>
        <v>90000</v>
      </c>
      <c r="AG185" s="69">
        <f>INDEX(smp_rev_sl1,3)*INDEX(ref_scn_rev,1)</f>
        <v>92000</v>
      </c>
      <c r="AH185" s="69">
        <f>INDEX(smp_rev_sl1,4)*INDEX(ref_scn_rev,1)</f>
        <v>95000</v>
      </c>
      <c r="AI185" s="69">
        <f>INDEX(smp_rev_sl1,5)*INDEX(ref_scn_rev,1)</f>
        <v>98000</v>
      </c>
      <c r="AJ185" s="69">
        <f>INDEX(smp_rev_sl1,6)*INDEX(ref_scn_rev,1)</f>
        <v>100000</v>
      </c>
      <c r="AK185" s="69">
        <f>INDEX(smp_rev_sl1,7)*INDEX(ref_scn_rev,1)</f>
        <v>102000</v>
      </c>
      <c r="AL185" s="69">
        <f>INDEX(smp_rev_sl1,8)*INDEX(ref_scn_rev,1)</f>
        <v>105000</v>
      </c>
      <c r="AM185" s="69">
        <f>INDEX(smp_rev_sl1,9)*INDEX(ref_scn_rev,1)</f>
        <v>108000</v>
      </c>
      <c r="AN185" s="69">
        <f>INDEX(smp_rev_sl1,10)*INDEX(ref_scn_rev,1)</f>
        <v>110000</v>
      </c>
      <c r="AO185" s="69">
        <f>INDEX(smp_rev_sl1,11)*INDEX(ref_scn_rev,1)</f>
        <v>112000</v>
      </c>
      <c r="AP185" s="69">
        <f>INDEX(smp_rev_sl1,12)*INDEX(ref_scn_rev,1)</f>
        <v>115000</v>
      </c>
      <c r="AQ185" s="69">
        <f>INDEX(smp_rev_sl1,13)*INDEX(ref_scn_rev,1)</f>
        <v>118000</v>
      </c>
      <c r="AR185" s="69">
        <f>INDEX(smp_rev_sl1,14)*INDEX(ref_scn_rev,1)</f>
        <v>120000</v>
      </c>
      <c r="AS185" s="69">
        <f>INDEX(smp_rev_sl1,15)*INDEX(ref_scn_rev,1)</f>
        <v>122000</v>
      </c>
      <c r="AT185" s="69">
        <f>INDEX(smp_rev_sl1,16)*INDEX(ref_scn_rev,1)</f>
        <v>125000</v>
      </c>
      <c r="AU185" s="69">
        <f>INDEX(smp_rev_sl1,17)*INDEX(ref_scn_rev,1)</f>
        <v>128000</v>
      </c>
      <c r="AV185" s="69">
        <f>INDEX(smp_rev_sl1,18)*INDEX(ref_scn_rev,1)</f>
        <v>130000</v>
      </c>
      <c r="AW185" s="69">
        <f>INDEX(smp_rev_sl1,19)*INDEX(ref_scn_rev,1)</f>
        <v>132000</v>
      </c>
      <c r="AX185" s="69">
        <f>INDEX(smp_rev_sl1,20)*INDEX(ref_scn_rev,1)</f>
        <v>135000</v>
      </c>
      <c r="AY185" s="69">
        <f>INDEX(smp_rev_sl1,21)*INDEX(ref_scn_rev,1)</f>
        <v>135000</v>
      </c>
      <c r="AZ185" s="69">
        <f>INDEX(smp_rev_sl1,22)*INDEX(ref_scn_rev,1)</f>
        <v>135000</v>
      </c>
      <c r="BA185" s="69">
        <f>INDEX(smp_rev_sl1,23)*INDEX(ref_scn_rev,1)</f>
        <v>135000</v>
      </c>
      <c r="BB185" s="69">
        <f>INDEX(smp_rev_sl1,24)*INDEX(ref_scn_rev,1)</f>
        <v>135000</v>
      </c>
      <c r="BC185" s="70">
        <f t="shared" ref="BC185:BC201" si="80">SUM(AE185:AP185)</f>
        <v>1217000</v>
      </c>
      <c r="BD185" s="70">
        <f t="shared" ref="BD185:BD201" si="81">SUM(AQ185:BB185)</f>
        <v>1550000</v>
      </c>
      <c r="BE185" s="2"/>
      <c r="BF185" s="69">
        <f>INDEX(smp_rev_sl1,1)*INDEX(ref_scn_rev,2)</f>
        <v>76500</v>
      </c>
      <c r="BG185" s="69">
        <f>INDEX(smp_rev_sl1,2)*INDEX(ref_scn_rev,2)</f>
        <v>76500</v>
      </c>
      <c r="BH185" s="69">
        <f>INDEX(smp_rev_sl1,3)*INDEX(ref_scn_rev,2)</f>
        <v>78200</v>
      </c>
      <c r="BI185" s="69">
        <f>INDEX(smp_rev_sl1,4)*INDEX(ref_scn_rev,2)</f>
        <v>80750</v>
      </c>
      <c r="BJ185" s="69">
        <f>INDEX(smp_rev_sl1,5)*INDEX(ref_scn_rev,2)</f>
        <v>83300</v>
      </c>
      <c r="BK185" s="69">
        <f>INDEX(smp_rev_sl1,6)*INDEX(ref_scn_rev,2)</f>
        <v>85000</v>
      </c>
      <c r="BL185" s="69">
        <f>INDEX(smp_rev_sl1,7)*INDEX(ref_scn_rev,2)</f>
        <v>86700</v>
      </c>
      <c r="BM185" s="69">
        <f>INDEX(smp_rev_sl1,8)*INDEX(ref_scn_rev,2)</f>
        <v>89250</v>
      </c>
      <c r="BN185" s="69">
        <f>INDEX(smp_rev_sl1,9)*INDEX(ref_scn_rev,2)</f>
        <v>91800</v>
      </c>
      <c r="BO185" s="69">
        <f>INDEX(smp_rev_sl1,10)*INDEX(ref_scn_rev,2)</f>
        <v>93500</v>
      </c>
      <c r="BP185" s="69">
        <f>INDEX(smp_rev_sl1,11)*INDEX(ref_scn_rev,2)</f>
        <v>95200</v>
      </c>
      <c r="BQ185" s="69">
        <f>INDEX(smp_rev_sl1,12)*INDEX(ref_scn_rev,2)</f>
        <v>97750</v>
      </c>
      <c r="BR185" s="69">
        <f>INDEX(smp_rev_sl1,13)*INDEX(ref_scn_rev,2)</f>
        <v>100300</v>
      </c>
      <c r="BS185" s="69">
        <f>INDEX(smp_rev_sl1,14)*INDEX(ref_scn_rev,2)</f>
        <v>102000</v>
      </c>
      <c r="BT185" s="69">
        <f>INDEX(smp_rev_sl1,15)*INDEX(ref_scn_rev,2)</f>
        <v>103700</v>
      </c>
      <c r="BU185" s="69">
        <f>INDEX(smp_rev_sl1,16)*INDEX(ref_scn_rev,2)</f>
        <v>106250</v>
      </c>
      <c r="BV185" s="69">
        <f>INDEX(smp_rev_sl1,17)*INDEX(ref_scn_rev,2)</f>
        <v>108800</v>
      </c>
      <c r="BW185" s="69">
        <f>INDEX(smp_rev_sl1,18)*INDEX(ref_scn_rev,2)</f>
        <v>110500</v>
      </c>
      <c r="BX185" s="69">
        <f>INDEX(smp_rev_sl1,19)*INDEX(ref_scn_rev,2)</f>
        <v>112200</v>
      </c>
      <c r="BY185" s="69">
        <f>INDEX(smp_rev_sl1,20)*INDEX(ref_scn_rev,2)</f>
        <v>114750</v>
      </c>
      <c r="BZ185" s="69">
        <f>INDEX(smp_rev_sl1,21)*INDEX(ref_scn_rev,2)</f>
        <v>114750</v>
      </c>
      <c r="CA185" s="69">
        <f>INDEX(smp_rev_sl1,22)*INDEX(ref_scn_rev,2)</f>
        <v>114750</v>
      </c>
      <c r="CB185" s="69">
        <f>INDEX(smp_rev_sl1,23)*INDEX(ref_scn_rev,2)</f>
        <v>114750</v>
      </c>
      <c r="CC185" s="69">
        <f>INDEX(smp_rev_sl1,24)*INDEX(ref_scn_rev,2)</f>
        <v>114750</v>
      </c>
      <c r="CD185" s="70">
        <f t="shared" ref="CD185:CD201" si="82">SUM(BF185:BQ185)</f>
        <v>1034450</v>
      </c>
      <c r="CE185" s="70">
        <f t="shared" ref="CE185:CE201" si="83">SUM(BR185:CC185)</f>
        <v>1317500</v>
      </c>
      <c r="CF185" s="2"/>
      <c r="CG185" s="69">
        <f>INDEX(smp_rev_sl1,1)*INDEX(ref_scn_rev,3)</f>
        <v>99000.000000000015</v>
      </c>
      <c r="CH185" s="69">
        <f>INDEX(smp_rev_sl1,2)*INDEX(ref_scn_rev,3)</f>
        <v>99000.000000000015</v>
      </c>
      <c r="CI185" s="69">
        <f>INDEX(smp_rev_sl1,3)*INDEX(ref_scn_rev,3)</f>
        <v>101200.00000000001</v>
      </c>
      <c r="CJ185" s="69">
        <f>INDEX(smp_rev_sl1,4)*INDEX(ref_scn_rev,3)</f>
        <v>104500.00000000001</v>
      </c>
      <c r="CK185" s="69">
        <f>INDEX(smp_rev_sl1,5)*INDEX(ref_scn_rev,3)</f>
        <v>107800.00000000001</v>
      </c>
      <c r="CL185" s="69">
        <f>INDEX(smp_rev_sl1,6)*INDEX(ref_scn_rev,3)</f>
        <v>110000.00000000001</v>
      </c>
      <c r="CM185" s="69">
        <f>INDEX(smp_rev_sl1,7)*INDEX(ref_scn_rev,3)</f>
        <v>112200.00000000001</v>
      </c>
      <c r="CN185" s="69">
        <f>INDEX(smp_rev_sl1,8)*INDEX(ref_scn_rev,3)</f>
        <v>115500.00000000001</v>
      </c>
      <c r="CO185" s="69">
        <f>INDEX(smp_rev_sl1,9)*INDEX(ref_scn_rev,3)</f>
        <v>118800.00000000001</v>
      </c>
      <c r="CP185" s="69">
        <f>INDEX(smp_rev_sl1,10)*INDEX(ref_scn_rev,3)</f>
        <v>121000.00000000001</v>
      </c>
      <c r="CQ185" s="69">
        <f>INDEX(smp_rev_sl1,11)*INDEX(ref_scn_rev,3)</f>
        <v>123200.00000000001</v>
      </c>
      <c r="CR185" s="69">
        <f>INDEX(smp_rev_sl1,12)*INDEX(ref_scn_rev,3)</f>
        <v>126500.00000000001</v>
      </c>
      <c r="CS185" s="69">
        <f>INDEX(smp_rev_sl1,13)*INDEX(ref_scn_rev,3)</f>
        <v>129800.00000000001</v>
      </c>
      <c r="CT185" s="69">
        <f>INDEX(smp_rev_sl1,14)*INDEX(ref_scn_rev,3)</f>
        <v>132000</v>
      </c>
      <c r="CU185" s="69">
        <f>INDEX(smp_rev_sl1,15)*INDEX(ref_scn_rev,3)</f>
        <v>134200</v>
      </c>
      <c r="CV185" s="69">
        <f>INDEX(smp_rev_sl1,16)*INDEX(ref_scn_rev,3)</f>
        <v>137500</v>
      </c>
      <c r="CW185" s="69">
        <f>INDEX(smp_rev_sl1,17)*INDEX(ref_scn_rev,3)</f>
        <v>140800</v>
      </c>
      <c r="CX185" s="69">
        <f>INDEX(smp_rev_sl1,18)*INDEX(ref_scn_rev,3)</f>
        <v>143000</v>
      </c>
      <c r="CY185" s="69">
        <f>INDEX(smp_rev_sl1,19)*INDEX(ref_scn_rev,3)</f>
        <v>145200</v>
      </c>
      <c r="CZ185" s="69">
        <f>INDEX(smp_rev_sl1,20)*INDEX(ref_scn_rev,3)</f>
        <v>148500</v>
      </c>
      <c r="DA185" s="69">
        <f>INDEX(smp_rev_sl1,21)*INDEX(ref_scn_rev,3)</f>
        <v>148500</v>
      </c>
      <c r="DB185" s="69">
        <f>INDEX(smp_rev_sl1,22)*INDEX(ref_scn_rev,3)</f>
        <v>148500</v>
      </c>
      <c r="DC185" s="69">
        <f>INDEX(smp_rev_sl1,23)*INDEX(ref_scn_rev,3)</f>
        <v>148500</v>
      </c>
      <c r="DD185" s="69">
        <f>INDEX(smp_rev_sl1,24)*INDEX(ref_scn_rev,3)</f>
        <v>148500</v>
      </c>
      <c r="DE185" s="70">
        <f t="shared" ref="DE185:DE201" si="84">SUM(CG185:CR185)</f>
        <v>1338700.0000000002</v>
      </c>
      <c r="DF185" s="70">
        <f t="shared" ref="DF185:DF201" si="85">SUM(CS185:DD185)</f>
        <v>1705000</v>
      </c>
      <c r="DG185"/>
      <c r="DH185"/>
    </row>
    <row r="186" spans="1:112" hidden="1" x14ac:dyDescent="0.2">
      <c r="A186" s="1"/>
      <c r="B186" s="35" t="s">
        <v>108</v>
      </c>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2"/>
      <c r="AE186" s="69">
        <f>INDEX(smp_rev_sl2,1)*INDEX(ref_scn_rev,1)</f>
        <v>140000</v>
      </c>
      <c r="AF186" s="69">
        <f>INDEX(smp_rev_sl2,2)*INDEX(ref_scn_rev,1)</f>
        <v>150000</v>
      </c>
      <c r="AG186" s="69">
        <f>INDEX(smp_rev_sl2,3)*INDEX(ref_scn_rev,1)</f>
        <v>160000</v>
      </c>
      <c r="AH186" s="69">
        <f>INDEX(smp_rev_sl2,4)*INDEX(ref_scn_rev,1)</f>
        <v>170000</v>
      </c>
      <c r="AI186" s="69">
        <f>INDEX(smp_rev_sl2,5)*INDEX(ref_scn_rev,1)</f>
        <v>180000</v>
      </c>
      <c r="AJ186" s="69">
        <f>INDEX(smp_rev_sl2,6)*INDEX(ref_scn_rev,1)</f>
        <v>170000</v>
      </c>
      <c r="AK186" s="69">
        <f>INDEX(smp_rev_sl2,7)*INDEX(ref_scn_rev,1)</f>
        <v>160000</v>
      </c>
      <c r="AL186" s="69">
        <f>INDEX(smp_rev_sl2,8)*INDEX(ref_scn_rev,1)</f>
        <v>155000</v>
      </c>
      <c r="AM186" s="69">
        <f>INDEX(smp_rev_sl2,9)*INDEX(ref_scn_rev,1)</f>
        <v>165000</v>
      </c>
      <c r="AN186" s="69">
        <f>INDEX(smp_rev_sl2,10)*INDEX(ref_scn_rev,1)</f>
        <v>175000</v>
      </c>
      <c r="AO186" s="69">
        <f>INDEX(smp_rev_sl2,11)*INDEX(ref_scn_rev,1)</f>
        <v>180000</v>
      </c>
      <c r="AP186" s="69">
        <f>INDEX(smp_rev_sl2,12)*INDEX(ref_scn_rev,1)</f>
        <v>175000</v>
      </c>
      <c r="AQ186" s="69">
        <f>INDEX(smp_rev_sl2,13)*INDEX(ref_scn_rev,1)</f>
        <v>165000</v>
      </c>
      <c r="AR186" s="69">
        <f>INDEX(smp_rev_sl2,14)*INDEX(ref_scn_rev,1)</f>
        <v>175000</v>
      </c>
      <c r="AS186" s="69">
        <f>INDEX(smp_rev_sl2,15)*INDEX(ref_scn_rev,1)</f>
        <v>185000</v>
      </c>
      <c r="AT186" s="69">
        <f>INDEX(smp_rev_sl2,16)*INDEX(ref_scn_rev,1)</f>
        <v>195000</v>
      </c>
      <c r="AU186" s="69">
        <f>INDEX(smp_rev_sl2,17)*INDEX(ref_scn_rev,1)</f>
        <v>200000</v>
      </c>
      <c r="AV186" s="69">
        <f>INDEX(smp_rev_sl2,18)*INDEX(ref_scn_rev,1)</f>
        <v>195000</v>
      </c>
      <c r="AW186" s="69">
        <f>INDEX(smp_rev_sl2,19)*INDEX(ref_scn_rev,1)</f>
        <v>185000</v>
      </c>
      <c r="AX186" s="69">
        <f>INDEX(smp_rev_sl2,20)*INDEX(ref_scn_rev,1)</f>
        <v>180000</v>
      </c>
      <c r="AY186" s="69">
        <f>INDEX(smp_rev_sl2,21)*INDEX(ref_scn_rev,1)</f>
        <v>190000</v>
      </c>
      <c r="AZ186" s="69">
        <f>INDEX(smp_rev_sl2,22)*INDEX(ref_scn_rev,1)</f>
        <v>200000</v>
      </c>
      <c r="BA186" s="69">
        <f>INDEX(smp_rev_sl2,23)*INDEX(ref_scn_rev,1)</f>
        <v>205000</v>
      </c>
      <c r="BB186" s="69">
        <f>INDEX(smp_rev_sl2,24)*INDEX(ref_scn_rev,1)</f>
        <v>200000</v>
      </c>
      <c r="BC186" s="70">
        <f t="shared" si="80"/>
        <v>1980000</v>
      </c>
      <c r="BD186" s="70">
        <f t="shared" si="81"/>
        <v>2275000</v>
      </c>
      <c r="BE186" s="2"/>
      <c r="BF186" s="69">
        <f>INDEX(smp_rev_sl2,1)*INDEX(ref_scn_rev,2)</f>
        <v>119000</v>
      </c>
      <c r="BG186" s="69">
        <f>INDEX(smp_rev_sl2,2)*INDEX(ref_scn_rev,2)</f>
        <v>127500</v>
      </c>
      <c r="BH186" s="69">
        <f>INDEX(smp_rev_sl2,3)*INDEX(ref_scn_rev,2)</f>
        <v>136000</v>
      </c>
      <c r="BI186" s="69">
        <f>INDEX(smp_rev_sl2,4)*INDEX(ref_scn_rev,2)</f>
        <v>144500</v>
      </c>
      <c r="BJ186" s="69">
        <f>INDEX(smp_rev_sl2,5)*INDEX(ref_scn_rev,2)</f>
        <v>153000</v>
      </c>
      <c r="BK186" s="69">
        <f>INDEX(smp_rev_sl2,6)*INDEX(ref_scn_rev,2)</f>
        <v>144500</v>
      </c>
      <c r="BL186" s="69">
        <f>INDEX(smp_rev_sl2,7)*INDEX(ref_scn_rev,2)</f>
        <v>136000</v>
      </c>
      <c r="BM186" s="69">
        <f>INDEX(smp_rev_sl2,8)*INDEX(ref_scn_rev,2)</f>
        <v>131750</v>
      </c>
      <c r="BN186" s="69">
        <f>INDEX(smp_rev_sl2,9)*INDEX(ref_scn_rev,2)</f>
        <v>140250</v>
      </c>
      <c r="BO186" s="69">
        <f>INDEX(smp_rev_sl2,10)*INDEX(ref_scn_rev,2)</f>
        <v>148750</v>
      </c>
      <c r="BP186" s="69">
        <f>INDEX(smp_rev_sl2,11)*INDEX(ref_scn_rev,2)</f>
        <v>153000</v>
      </c>
      <c r="BQ186" s="69">
        <f>INDEX(smp_rev_sl2,12)*INDEX(ref_scn_rev,2)</f>
        <v>148750</v>
      </c>
      <c r="BR186" s="69">
        <f>INDEX(smp_rev_sl2,13)*INDEX(ref_scn_rev,2)</f>
        <v>140250</v>
      </c>
      <c r="BS186" s="69">
        <f>INDEX(smp_rev_sl2,14)*INDEX(ref_scn_rev,2)</f>
        <v>148750</v>
      </c>
      <c r="BT186" s="69">
        <f>INDEX(smp_rev_sl2,15)*INDEX(ref_scn_rev,2)</f>
        <v>157250</v>
      </c>
      <c r="BU186" s="69">
        <f>INDEX(smp_rev_sl2,16)*INDEX(ref_scn_rev,2)</f>
        <v>165750</v>
      </c>
      <c r="BV186" s="69">
        <f>INDEX(smp_rev_sl2,17)*INDEX(ref_scn_rev,2)</f>
        <v>170000</v>
      </c>
      <c r="BW186" s="69">
        <f>INDEX(smp_rev_sl2,18)*INDEX(ref_scn_rev,2)</f>
        <v>165750</v>
      </c>
      <c r="BX186" s="69">
        <f>INDEX(smp_rev_sl2,19)*INDEX(ref_scn_rev,2)</f>
        <v>157250</v>
      </c>
      <c r="BY186" s="69">
        <f>INDEX(smp_rev_sl2,20)*INDEX(ref_scn_rev,2)</f>
        <v>153000</v>
      </c>
      <c r="BZ186" s="69">
        <f>INDEX(smp_rev_sl2,21)*INDEX(ref_scn_rev,2)</f>
        <v>161500</v>
      </c>
      <c r="CA186" s="69">
        <f>INDEX(smp_rev_sl2,22)*INDEX(ref_scn_rev,2)</f>
        <v>170000</v>
      </c>
      <c r="CB186" s="69">
        <f>INDEX(smp_rev_sl2,23)*INDEX(ref_scn_rev,2)</f>
        <v>174250</v>
      </c>
      <c r="CC186" s="69">
        <f>INDEX(smp_rev_sl2,24)*INDEX(ref_scn_rev,2)</f>
        <v>170000</v>
      </c>
      <c r="CD186" s="70">
        <f t="shared" si="82"/>
        <v>1683000</v>
      </c>
      <c r="CE186" s="70">
        <f t="shared" si="83"/>
        <v>1933750</v>
      </c>
      <c r="CF186" s="2"/>
      <c r="CG186" s="69">
        <f>INDEX(smp_rev_sl2,1)*INDEX(ref_scn_rev,3)</f>
        <v>154000</v>
      </c>
      <c r="CH186" s="69">
        <f>INDEX(smp_rev_sl2,2)*INDEX(ref_scn_rev,3)</f>
        <v>165000</v>
      </c>
      <c r="CI186" s="69">
        <f>INDEX(smp_rev_sl2,3)*INDEX(ref_scn_rev,3)</f>
        <v>176000</v>
      </c>
      <c r="CJ186" s="69">
        <f>INDEX(smp_rev_sl2,4)*INDEX(ref_scn_rev,3)</f>
        <v>187000.00000000003</v>
      </c>
      <c r="CK186" s="69">
        <f>INDEX(smp_rev_sl2,5)*INDEX(ref_scn_rev,3)</f>
        <v>198000.00000000003</v>
      </c>
      <c r="CL186" s="69">
        <f>INDEX(smp_rev_sl2,6)*INDEX(ref_scn_rev,3)</f>
        <v>187000.00000000003</v>
      </c>
      <c r="CM186" s="69">
        <f>INDEX(smp_rev_sl2,7)*INDEX(ref_scn_rev,3)</f>
        <v>176000</v>
      </c>
      <c r="CN186" s="69">
        <f>INDEX(smp_rev_sl2,8)*INDEX(ref_scn_rev,3)</f>
        <v>170500</v>
      </c>
      <c r="CO186" s="69">
        <f>INDEX(smp_rev_sl2,9)*INDEX(ref_scn_rev,3)</f>
        <v>181500.00000000003</v>
      </c>
      <c r="CP186" s="69">
        <f>INDEX(smp_rev_sl2,10)*INDEX(ref_scn_rev,3)</f>
        <v>192500.00000000003</v>
      </c>
      <c r="CQ186" s="69">
        <f>INDEX(smp_rev_sl2,11)*INDEX(ref_scn_rev,3)</f>
        <v>198000.00000000003</v>
      </c>
      <c r="CR186" s="69">
        <f>INDEX(smp_rev_sl2,12)*INDEX(ref_scn_rev,3)</f>
        <v>192500.00000000003</v>
      </c>
      <c r="CS186" s="69">
        <f>INDEX(smp_rev_sl2,13)*INDEX(ref_scn_rev,3)</f>
        <v>181500.00000000003</v>
      </c>
      <c r="CT186" s="69">
        <f>INDEX(smp_rev_sl2,14)*INDEX(ref_scn_rev,3)</f>
        <v>192500.00000000003</v>
      </c>
      <c r="CU186" s="69">
        <f>INDEX(smp_rev_sl2,15)*INDEX(ref_scn_rev,3)</f>
        <v>203500.00000000003</v>
      </c>
      <c r="CV186" s="69">
        <f>INDEX(smp_rev_sl2,16)*INDEX(ref_scn_rev,3)</f>
        <v>214500.00000000003</v>
      </c>
      <c r="CW186" s="69">
        <f>INDEX(smp_rev_sl2,17)*INDEX(ref_scn_rev,3)</f>
        <v>220000.00000000003</v>
      </c>
      <c r="CX186" s="69">
        <f>INDEX(smp_rev_sl2,18)*INDEX(ref_scn_rev,3)</f>
        <v>214500.00000000003</v>
      </c>
      <c r="CY186" s="69">
        <f>INDEX(smp_rev_sl2,19)*INDEX(ref_scn_rev,3)</f>
        <v>203500.00000000003</v>
      </c>
      <c r="CZ186" s="69">
        <f>INDEX(smp_rev_sl2,20)*INDEX(ref_scn_rev,3)</f>
        <v>198000.00000000003</v>
      </c>
      <c r="DA186" s="69">
        <f>INDEX(smp_rev_sl2,21)*INDEX(ref_scn_rev,3)</f>
        <v>209000.00000000003</v>
      </c>
      <c r="DB186" s="69">
        <f>INDEX(smp_rev_sl2,22)*INDEX(ref_scn_rev,3)</f>
        <v>220000.00000000003</v>
      </c>
      <c r="DC186" s="69">
        <f>INDEX(smp_rev_sl2,23)*INDEX(ref_scn_rev,3)</f>
        <v>225500.00000000003</v>
      </c>
      <c r="DD186" s="69">
        <f>INDEX(smp_rev_sl2,24)*INDEX(ref_scn_rev,3)</f>
        <v>220000.00000000003</v>
      </c>
      <c r="DE186" s="70">
        <f t="shared" si="84"/>
        <v>2178000</v>
      </c>
      <c r="DF186" s="70">
        <f t="shared" si="85"/>
        <v>2502500.0000000005</v>
      </c>
      <c r="DG186"/>
      <c r="DH186"/>
    </row>
    <row r="187" spans="1:112" hidden="1" x14ac:dyDescent="0.2">
      <c r="A187" s="1"/>
      <c r="B187" s="35" t="s">
        <v>109</v>
      </c>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2"/>
      <c r="AE187" s="69">
        <f>INDEX(smp_rev_sl3,1)*INDEX(ref_scn_rev,1)</f>
        <v>60000</v>
      </c>
      <c r="AF187" s="69">
        <f>INDEX(smp_rev_sl3,2)*INDEX(ref_scn_rev,1)</f>
        <v>65000</v>
      </c>
      <c r="AG187" s="69">
        <f>INDEX(smp_rev_sl3,3)*INDEX(ref_scn_rev,1)</f>
        <v>70000</v>
      </c>
      <c r="AH187" s="69">
        <f>INDEX(smp_rev_sl3,4)*INDEX(ref_scn_rev,1)</f>
        <v>73000</v>
      </c>
      <c r="AI187" s="69">
        <f>INDEX(smp_rev_sl3,5)*INDEX(ref_scn_rev,1)</f>
        <v>75000</v>
      </c>
      <c r="AJ187" s="69">
        <f>INDEX(smp_rev_sl3,6)*INDEX(ref_scn_rev,1)</f>
        <v>78000</v>
      </c>
      <c r="AK187" s="69">
        <f>INDEX(smp_rev_sl3,7)*INDEX(ref_scn_rev,1)</f>
        <v>80000</v>
      </c>
      <c r="AL187" s="69">
        <f>INDEX(smp_rev_sl3,8)*INDEX(ref_scn_rev,1)</f>
        <v>82000</v>
      </c>
      <c r="AM187" s="69">
        <f>INDEX(smp_rev_sl3,9)*INDEX(ref_scn_rev,1)</f>
        <v>85000</v>
      </c>
      <c r="AN187" s="69">
        <f>INDEX(smp_rev_sl3,10)*INDEX(ref_scn_rev,1)</f>
        <v>88000</v>
      </c>
      <c r="AO187" s="69">
        <f>INDEX(smp_rev_sl3,11)*INDEX(ref_scn_rev,1)</f>
        <v>92000</v>
      </c>
      <c r="AP187" s="69">
        <f>INDEX(smp_rev_sl3,12)*INDEX(ref_scn_rev,1)</f>
        <v>95000</v>
      </c>
      <c r="AQ187" s="69">
        <f>INDEX(smp_rev_sl3,13)*INDEX(ref_scn_rev,1)</f>
        <v>98000</v>
      </c>
      <c r="AR187" s="69">
        <f>INDEX(smp_rev_sl3,14)*INDEX(ref_scn_rev,1)</f>
        <v>100000</v>
      </c>
      <c r="AS187" s="69">
        <f>INDEX(smp_rev_sl3,15)*INDEX(ref_scn_rev,1)</f>
        <v>102000</v>
      </c>
      <c r="AT187" s="69">
        <f>INDEX(smp_rev_sl3,16)*INDEX(ref_scn_rev,1)</f>
        <v>105000</v>
      </c>
      <c r="AU187" s="69">
        <f>INDEX(smp_rev_sl3,17)*INDEX(ref_scn_rev,1)</f>
        <v>108000</v>
      </c>
      <c r="AV187" s="69">
        <f>INDEX(smp_rev_sl3,18)*INDEX(ref_scn_rev,1)</f>
        <v>110000</v>
      </c>
      <c r="AW187" s="69">
        <f>INDEX(smp_rev_sl3,19)*INDEX(ref_scn_rev,1)</f>
        <v>112000</v>
      </c>
      <c r="AX187" s="69">
        <f>INDEX(smp_rev_sl3,20)*INDEX(ref_scn_rev,1)</f>
        <v>115000</v>
      </c>
      <c r="AY187" s="69">
        <f>INDEX(smp_rev_sl3,21)*INDEX(ref_scn_rev,1)</f>
        <v>115000</v>
      </c>
      <c r="AZ187" s="69">
        <f>INDEX(smp_rev_sl3,22)*INDEX(ref_scn_rev,1)</f>
        <v>115000</v>
      </c>
      <c r="BA187" s="69">
        <f>INDEX(smp_rev_sl3,23)*INDEX(ref_scn_rev,1)</f>
        <v>115000</v>
      </c>
      <c r="BB187" s="69">
        <f>INDEX(smp_rev_sl3,24)*INDEX(ref_scn_rev,1)</f>
        <v>115000</v>
      </c>
      <c r="BC187" s="70">
        <f t="shared" si="80"/>
        <v>943000</v>
      </c>
      <c r="BD187" s="70">
        <f t="shared" si="81"/>
        <v>1310000</v>
      </c>
      <c r="BE187" s="2"/>
      <c r="BF187" s="69">
        <f>INDEX(smp_rev_sl3,1)*INDEX(ref_scn_rev,2)</f>
        <v>51000</v>
      </c>
      <c r="BG187" s="69">
        <f>INDEX(smp_rev_sl3,2)*INDEX(ref_scn_rev,2)</f>
        <v>55250</v>
      </c>
      <c r="BH187" s="69">
        <f>INDEX(smp_rev_sl3,3)*INDEX(ref_scn_rev,2)</f>
        <v>59500</v>
      </c>
      <c r="BI187" s="69">
        <f>INDEX(smp_rev_sl3,4)*INDEX(ref_scn_rev,2)</f>
        <v>62050</v>
      </c>
      <c r="BJ187" s="69">
        <f>INDEX(smp_rev_sl3,5)*INDEX(ref_scn_rev,2)</f>
        <v>63750</v>
      </c>
      <c r="BK187" s="69">
        <f>INDEX(smp_rev_sl3,6)*INDEX(ref_scn_rev,2)</f>
        <v>66300</v>
      </c>
      <c r="BL187" s="69">
        <f>INDEX(smp_rev_sl3,7)*INDEX(ref_scn_rev,2)</f>
        <v>68000</v>
      </c>
      <c r="BM187" s="69">
        <f>INDEX(smp_rev_sl3,8)*INDEX(ref_scn_rev,2)</f>
        <v>69700</v>
      </c>
      <c r="BN187" s="69">
        <f>INDEX(smp_rev_sl3,9)*INDEX(ref_scn_rev,2)</f>
        <v>72250</v>
      </c>
      <c r="BO187" s="69">
        <f>INDEX(smp_rev_sl3,10)*INDEX(ref_scn_rev,2)</f>
        <v>74800</v>
      </c>
      <c r="BP187" s="69">
        <f>INDEX(smp_rev_sl3,11)*INDEX(ref_scn_rev,2)</f>
        <v>78200</v>
      </c>
      <c r="BQ187" s="69">
        <f>INDEX(smp_rev_sl3,12)*INDEX(ref_scn_rev,2)</f>
        <v>80750</v>
      </c>
      <c r="BR187" s="69">
        <f>INDEX(smp_rev_sl3,13)*INDEX(ref_scn_rev,2)</f>
        <v>83300</v>
      </c>
      <c r="BS187" s="69">
        <f>INDEX(smp_rev_sl3,14)*INDEX(ref_scn_rev,2)</f>
        <v>85000</v>
      </c>
      <c r="BT187" s="69">
        <f>INDEX(smp_rev_sl3,15)*INDEX(ref_scn_rev,2)</f>
        <v>86700</v>
      </c>
      <c r="BU187" s="69">
        <f>INDEX(smp_rev_sl3,16)*INDEX(ref_scn_rev,2)</f>
        <v>89250</v>
      </c>
      <c r="BV187" s="69">
        <f>INDEX(smp_rev_sl3,17)*INDEX(ref_scn_rev,2)</f>
        <v>91800</v>
      </c>
      <c r="BW187" s="69">
        <f>INDEX(smp_rev_sl3,18)*INDEX(ref_scn_rev,2)</f>
        <v>93500</v>
      </c>
      <c r="BX187" s="69">
        <f>INDEX(smp_rev_sl3,19)*INDEX(ref_scn_rev,2)</f>
        <v>95200</v>
      </c>
      <c r="BY187" s="69">
        <f>INDEX(smp_rev_sl3,20)*INDEX(ref_scn_rev,2)</f>
        <v>97750</v>
      </c>
      <c r="BZ187" s="69">
        <f>INDEX(smp_rev_sl3,21)*INDEX(ref_scn_rev,2)</f>
        <v>97750</v>
      </c>
      <c r="CA187" s="69">
        <f>INDEX(smp_rev_sl3,22)*INDEX(ref_scn_rev,2)</f>
        <v>97750</v>
      </c>
      <c r="CB187" s="69">
        <f>INDEX(smp_rev_sl3,23)*INDEX(ref_scn_rev,2)</f>
        <v>97750</v>
      </c>
      <c r="CC187" s="69">
        <f>INDEX(smp_rev_sl3,24)*INDEX(ref_scn_rev,2)</f>
        <v>97750</v>
      </c>
      <c r="CD187" s="70">
        <f t="shared" si="82"/>
        <v>801550</v>
      </c>
      <c r="CE187" s="70">
        <f t="shared" si="83"/>
        <v>1113500</v>
      </c>
      <c r="CF187" s="2"/>
      <c r="CG187" s="69">
        <f>INDEX(smp_rev_sl3,1)*INDEX(ref_scn_rev,3)</f>
        <v>66000</v>
      </c>
      <c r="CH187" s="69">
        <f>INDEX(smp_rev_sl3,2)*INDEX(ref_scn_rev,3)</f>
        <v>71500</v>
      </c>
      <c r="CI187" s="69">
        <f>INDEX(smp_rev_sl3,3)*INDEX(ref_scn_rev,3)</f>
        <v>77000</v>
      </c>
      <c r="CJ187" s="69">
        <f>INDEX(smp_rev_sl3,4)*INDEX(ref_scn_rev,3)</f>
        <v>80300</v>
      </c>
      <c r="CK187" s="69">
        <f>INDEX(smp_rev_sl3,5)*INDEX(ref_scn_rev,3)</f>
        <v>82500</v>
      </c>
      <c r="CL187" s="69">
        <f>INDEX(smp_rev_sl3,6)*INDEX(ref_scn_rev,3)</f>
        <v>85800</v>
      </c>
      <c r="CM187" s="69">
        <f>INDEX(smp_rev_sl3,7)*INDEX(ref_scn_rev,3)</f>
        <v>88000</v>
      </c>
      <c r="CN187" s="69">
        <f>INDEX(smp_rev_sl3,8)*INDEX(ref_scn_rev,3)</f>
        <v>90200.000000000015</v>
      </c>
      <c r="CO187" s="69">
        <f>INDEX(smp_rev_sl3,9)*INDEX(ref_scn_rev,3)</f>
        <v>93500.000000000015</v>
      </c>
      <c r="CP187" s="69">
        <f>INDEX(smp_rev_sl3,10)*INDEX(ref_scn_rev,3)</f>
        <v>96800.000000000015</v>
      </c>
      <c r="CQ187" s="69">
        <f>INDEX(smp_rev_sl3,11)*INDEX(ref_scn_rev,3)</f>
        <v>101200.00000000001</v>
      </c>
      <c r="CR187" s="69">
        <f>INDEX(smp_rev_sl3,12)*INDEX(ref_scn_rev,3)</f>
        <v>104500.00000000001</v>
      </c>
      <c r="CS187" s="69">
        <f>INDEX(smp_rev_sl3,13)*INDEX(ref_scn_rev,3)</f>
        <v>107800.00000000001</v>
      </c>
      <c r="CT187" s="69">
        <f>INDEX(smp_rev_sl3,14)*INDEX(ref_scn_rev,3)</f>
        <v>110000.00000000001</v>
      </c>
      <c r="CU187" s="69">
        <f>INDEX(smp_rev_sl3,15)*INDEX(ref_scn_rev,3)</f>
        <v>112200.00000000001</v>
      </c>
      <c r="CV187" s="69">
        <f>INDEX(smp_rev_sl3,16)*INDEX(ref_scn_rev,3)</f>
        <v>115500.00000000001</v>
      </c>
      <c r="CW187" s="69">
        <f>INDEX(smp_rev_sl3,17)*INDEX(ref_scn_rev,3)</f>
        <v>118800.00000000001</v>
      </c>
      <c r="CX187" s="69">
        <f>INDEX(smp_rev_sl3,18)*INDEX(ref_scn_rev,3)</f>
        <v>121000.00000000001</v>
      </c>
      <c r="CY187" s="69">
        <f>INDEX(smp_rev_sl3,19)*INDEX(ref_scn_rev,3)</f>
        <v>123200.00000000001</v>
      </c>
      <c r="CZ187" s="69">
        <f>INDEX(smp_rev_sl3,20)*INDEX(ref_scn_rev,3)</f>
        <v>126500.00000000001</v>
      </c>
      <c r="DA187" s="69">
        <f>INDEX(smp_rev_sl3,21)*INDEX(ref_scn_rev,3)</f>
        <v>126500.00000000001</v>
      </c>
      <c r="DB187" s="69">
        <f>INDEX(smp_rev_sl3,22)*INDEX(ref_scn_rev,3)</f>
        <v>126500.00000000001</v>
      </c>
      <c r="DC187" s="69">
        <f>INDEX(smp_rev_sl3,23)*INDEX(ref_scn_rev,3)</f>
        <v>126500.00000000001</v>
      </c>
      <c r="DD187" s="69">
        <f>INDEX(smp_rev_sl3,24)*INDEX(ref_scn_rev,3)</f>
        <v>126500.00000000001</v>
      </c>
      <c r="DE187" s="70">
        <f t="shared" si="84"/>
        <v>1037300</v>
      </c>
      <c r="DF187" s="70">
        <f t="shared" si="85"/>
        <v>1441000.0000000002</v>
      </c>
      <c r="DG187"/>
      <c r="DH187"/>
    </row>
    <row r="188" spans="1:112" hidden="1" x14ac:dyDescent="0.2">
      <c r="A188" s="1"/>
      <c r="B188" s="35" t="s">
        <v>110</v>
      </c>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2"/>
      <c r="AE188" s="69">
        <f>INDEX(smp_rev_sl4,1)*INDEX(ref_scn_rev,1)</f>
        <v>45000</v>
      </c>
      <c r="AF188" s="69">
        <f>INDEX(smp_rev_sl4,2)*INDEX(ref_scn_rev,1)</f>
        <v>45000</v>
      </c>
      <c r="AG188" s="69">
        <f>INDEX(smp_rev_sl4,3)*INDEX(ref_scn_rev,1)</f>
        <v>45000</v>
      </c>
      <c r="AH188" s="69">
        <f>INDEX(smp_rev_sl4,4)*INDEX(ref_scn_rev,1)</f>
        <v>45000</v>
      </c>
      <c r="AI188" s="69">
        <f>INDEX(smp_rev_sl4,5)*INDEX(ref_scn_rev,1)</f>
        <v>45000</v>
      </c>
      <c r="AJ188" s="69">
        <f>INDEX(smp_rev_sl4,6)*INDEX(ref_scn_rev,1)</f>
        <v>45000</v>
      </c>
      <c r="AK188" s="69">
        <f>INDEX(smp_rev_sl4,7)*INDEX(ref_scn_rev,1)</f>
        <v>45000</v>
      </c>
      <c r="AL188" s="69">
        <f>INDEX(smp_rev_sl4,8)*INDEX(ref_scn_rev,1)</f>
        <v>45000</v>
      </c>
      <c r="AM188" s="69">
        <f>INDEX(smp_rev_sl4,9)*INDEX(ref_scn_rev,1)</f>
        <v>45000</v>
      </c>
      <c r="AN188" s="69">
        <f>INDEX(smp_rev_sl4,10)*INDEX(ref_scn_rev,1)</f>
        <v>45000</v>
      </c>
      <c r="AO188" s="69">
        <f>INDEX(smp_rev_sl4,11)*INDEX(ref_scn_rev,1)</f>
        <v>45000</v>
      </c>
      <c r="AP188" s="69">
        <f>INDEX(smp_rev_sl4,12)*INDEX(ref_scn_rev,1)</f>
        <v>45000</v>
      </c>
      <c r="AQ188" s="69">
        <f>INDEX(smp_rev_sl4,13)*INDEX(ref_scn_rev,1)</f>
        <v>48000</v>
      </c>
      <c r="AR188" s="69">
        <f>INDEX(smp_rev_sl4,14)*INDEX(ref_scn_rev,1)</f>
        <v>48000</v>
      </c>
      <c r="AS188" s="69">
        <f>INDEX(smp_rev_sl4,15)*INDEX(ref_scn_rev,1)</f>
        <v>48000</v>
      </c>
      <c r="AT188" s="69">
        <f>INDEX(smp_rev_sl4,16)*INDEX(ref_scn_rev,1)</f>
        <v>48000</v>
      </c>
      <c r="AU188" s="69">
        <f>INDEX(smp_rev_sl4,17)*INDEX(ref_scn_rev,1)</f>
        <v>48000</v>
      </c>
      <c r="AV188" s="69">
        <f>INDEX(smp_rev_sl4,18)*INDEX(ref_scn_rev,1)</f>
        <v>48000</v>
      </c>
      <c r="AW188" s="69">
        <f>INDEX(smp_rev_sl4,19)*INDEX(ref_scn_rev,1)</f>
        <v>48000</v>
      </c>
      <c r="AX188" s="69">
        <f>INDEX(smp_rev_sl4,20)*INDEX(ref_scn_rev,1)</f>
        <v>48000</v>
      </c>
      <c r="AY188" s="69">
        <f>INDEX(smp_rev_sl4,21)*INDEX(ref_scn_rev,1)</f>
        <v>48000</v>
      </c>
      <c r="AZ188" s="69">
        <f>INDEX(smp_rev_sl4,22)*INDEX(ref_scn_rev,1)</f>
        <v>48000</v>
      </c>
      <c r="BA188" s="69">
        <f>INDEX(smp_rev_sl4,23)*INDEX(ref_scn_rev,1)</f>
        <v>48000</v>
      </c>
      <c r="BB188" s="69">
        <f>INDEX(smp_rev_sl4,24)*INDEX(ref_scn_rev,1)</f>
        <v>48000</v>
      </c>
      <c r="BC188" s="70">
        <f t="shared" si="80"/>
        <v>540000</v>
      </c>
      <c r="BD188" s="70">
        <f t="shared" si="81"/>
        <v>576000</v>
      </c>
      <c r="BE188" s="2"/>
      <c r="BF188" s="69">
        <f>INDEX(smp_rev_sl4,1)*INDEX(ref_scn_rev,2)</f>
        <v>38250</v>
      </c>
      <c r="BG188" s="69">
        <f>INDEX(smp_rev_sl4,2)*INDEX(ref_scn_rev,2)</f>
        <v>38250</v>
      </c>
      <c r="BH188" s="69">
        <f>INDEX(smp_rev_sl4,3)*INDEX(ref_scn_rev,2)</f>
        <v>38250</v>
      </c>
      <c r="BI188" s="69">
        <f>INDEX(smp_rev_sl4,4)*INDEX(ref_scn_rev,2)</f>
        <v>38250</v>
      </c>
      <c r="BJ188" s="69">
        <f>INDEX(smp_rev_sl4,5)*INDEX(ref_scn_rev,2)</f>
        <v>38250</v>
      </c>
      <c r="BK188" s="69">
        <f>INDEX(smp_rev_sl4,6)*INDEX(ref_scn_rev,2)</f>
        <v>38250</v>
      </c>
      <c r="BL188" s="69">
        <f>INDEX(smp_rev_sl4,7)*INDEX(ref_scn_rev,2)</f>
        <v>38250</v>
      </c>
      <c r="BM188" s="69">
        <f>INDEX(smp_rev_sl4,8)*INDEX(ref_scn_rev,2)</f>
        <v>38250</v>
      </c>
      <c r="BN188" s="69">
        <f>INDEX(smp_rev_sl4,9)*INDEX(ref_scn_rev,2)</f>
        <v>38250</v>
      </c>
      <c r="BO188" s="69">
        <f>INDEX(smp_rev_sl4,10)*INDEX(ref_scn_rev,2)</f>
        <v>38250</v>
      </c>
      <c r="BP188" s="69">
        <f>INDEX(smp_rev_sl4,11)*INDEX(ref_scn_rev,2)</f>
        <v>38250</v>
      </c>
      <c r="BQ188" s="69">
        <f>INDEX(smp_rev_sl4,12)*INDEX(ref_scn_rev,2)</f>
        <v>38250</v>
      </c>
      <c r="BR188" s="69">
        <f>INDEX(smp_rev_sl4,13)*INDEX(ref_scn_rev,2)</f>
        <v>40800</v>
      </c>
      <c r="BS188" s="69">
        <f>INDEX(smp_rev_sl4,14)*INDEX(ref_scn_rev,2)</f>
        <v>40800</v>
      </c>
      <c r="BT188" s="69">
        <f>INDEX(smp_rev_sl4,15)*INDEX(ref_scn_rev,2)</f>
        <v>40800</v>
      </c>
      <c r="BU188" s="69">
        <f>INDEX(smp_rev_sl4,16)*INDEX(ref_scn_rev,2)</f>
        <v>40800</v>
      </c>
      <c r="BV188" s="69">
        <f>INDEX(smp_rev_sl4,17)*INDEX(ref_scn_rev,2)</f>
        <v>40800</v>
      </c>
      <c r="BW188" s="69">
        <f>INDEX(smp_rev_sl4,18)*INDEX(ref_scn_rev,2)</f>
        <v>40800</v>
      </c>
      <c r="BX188" s="69">
        <f>INDEX(smp_rev_sl4,19)*INDEX(ref_scn_rev,2)</f>
        <v>40800</v>
      </c>
      <c r="BY188" s="69">
        <f>INDEX(smp_rev_sl4,20)*INDEX(ref_scn_rev,2)</f>
        <v>40800</v>
      </c>
      <c r="BZ188" s="69">
        <f>INDEX(smp_rev_sl4,21)*INDEX(ref_scn_rev,2)</f>
        <v>40800</v>
      </c>
      <c r="CA188" s="69">
        <f>INDEX(smp_rev_sl4,22)*INDEX(ref_scn_rev,2)</f>
        <v>40800</v>
      </c>
      <c r="CB188" s="69">
        <f>INDEX(smp_rev_sl4,23)*INDEX(ref_scn_rev,2)</f>
        <v>40800</v>
      </c>
      <c r="CC188" s="69">
        <f>INDEX(smp_rev_sl4,24)*INDEX(ref_scn_rev,2)</f>
        <v>40800</v>
      </c>
      <c r="CD188" s="70">
        <f t="shared" si="82"/>
        <v>459000</v>
      </c>
      <c r="CE188" s="70">
        <f t="shared" si="83"/>
        <v>489600</v>
      </c>
      <c r="CF188" s="2"/>
      <c r="CG188" s="69">
        <f>INDEX(smp_rev_sl4,1)*INDEX(ref_scn_rev,3)</f>
        <v>49500.000000000007</v>
      </c>
      <c r="CH188" s="69">
        <f>INDEX(smp_rev_sl4,2)*INDEX(ref_scn_rev,3)</f>
        <v>49500.000000000007</v>
      </c>
      <c r="CI188" s="69">
        <f>INDEX(smp_rev_sl4,3)*INDEX(ref_scn_rev,3)</f>
        <v>49500.000000000007</v>
      </c>
      <c r="CJ188" s="69">
        <f>INDEX(smp_rev_sl4,4)*INDEX(ref_scn_rev,3)</f>
        <v>49500.000000000007</v>
      </c>
      <c r="CK188" s="69">
        <f>INDEX(smp_rev_sl4,5)*INDEX(ref_scn_rev,3)</f>
        <v>49500.000000000007</v>
      </c>
      <c r="CL188" s="69">
        <f>INDEX(smp_rev_sl4,6)*INDEX(ref_scn_rev,3)</f>
        <v>49500.000000000007</v>
      </c>
      <c r="CM188" s="69">
        <f>INDEX(smp_rev_sl4,7)*INDEX(ref_scn_rev,3)</f>
        <v>49500.000000000007</v>
      </c>
      <c r="CN188" s="69">
        <f>INDEX(smp_rev_sl4,8)*INDEX(ref_scn_rev,3)</f>
        <v>49500.000000000007</v>
      </c>
      <c r="CO188" s="69">
        <f>INDEX(smp_rev_sl4,9)*INDEX(ref_scn_rev,3)</f>
        <v>49500.000000000007</v>
      </c>
      <c r="CP188" s="69">
        <f>INDEX(smp_rev_sl4,10)*INDEX(ref_scn_rev,3)</f>
        <v>49500.000000000007</v>
      </c>
      <c r="CQ188" s="69">
        <f>INDEX(smp_rev_sl4,11)*INDEX(ref_scn_rev,3)</f>
        <v>49500.000000000007</v>
      </c>
      <c r="CR188" s="69">
        <f>INDEX(smp_rev_sl4,12)*INDEX(ref_scn_rev,3)</f>
        <v>49500.000000000007</v>
      </c>
      <c r="CS188" s="69">
        <f>INDEX(smp_rev_sl4,13)*INDEX(ref_scn_rev,3)</f>
        <v>52800.000000000007</v>
      </c>
      <c r="CT188" s="69">
        <f>INDEX(smp_rev_sl4,14)*INDEX(ref_scn_rev,3)</f>
        <v>52800.000000000007</v>
      </c>
      <c r="CU188" s="69">
        <f>INDEX(smp_rev_sl4,15)*INDEX(ref_scn_rev,3)</f>
        <v>52800.000000000007</v>
      </c>
      <c r="CV188" s="69">
        <f>INDEX(smp_rev_sl4,16)*INDEX(ref_scn_rev,3)</f>
        <v>52800.000000000007</v>
      </c>
      <c r="CW188" s="69">
        <f>INDEX(smp_rev_sl4,17)*INDEX(ref_scn_rev,3)</f>
        <v>52800.000000000007</v>
      </c>
      <c r="CX188" s="69">
        <f>INDEX(smp_rev_sl4,18)*INDEX(ref_scn_rev,3)</f>
        <v>52800.000000000007</v>
      </c>
      <c r="CY188" s="69">
        <f>INDEX(smp_rev_sl4,19)*INDEX(ref_scn_rev,3)</f>
        <v>52800.000000000007</v>
      </c>
      <c r="CZ188" s="69">
        <f>INDEX(smp_rev_sl4,20)*INDEX(ref_scn_rev,3)</f>
        <v>52800.000000000007</v>
      </c>
      <c r="DA188" s="69">
        <f>INDEX(smp_rev_sl4,21)*INDEX(ref_scn_rev,3)</f>
        <v>52800.000000000007</v>
      </c>
      <c r="DB188" s="69">
        <f>INDEX(smp_rev_sl4,22)*INDEX(ref_scn_rev,3)</f>
        <v>52800.000000000007</v>
      </c>
      <c r="DC188" s="69">
        <f>INDEX(smp_rev_sl4,23)*INDEX(ref_scn_rev,3)</f>
        <v>52800.000000000007</v>
      </c>
      <c r="DD188" s="69">
        <f>INDEX(smp_rev_sl4,24)*INDEX(ref_scn_rev,3)</f>
        <v>52800.000000000007</v>
      </c>
      <c r="DE188" s="70">
        <f t="shared" si="84"/>
        <v>594000.00000000012</v>
      </c>
      <c r="DF188" s="70">
        <f t="shared" si="85"/>
        <v>633600.00000000012</v>
      </c>
      <c r="DG188"/>
      <c r="DH188"/>
    </row>
    <row r="189" spans="1:112" hidden="1" x14ac:dyDescent="0.2">
      <c r="A189" s="1"/>
      <c r="B189" s="35" t="s">
        <v>111</v>
      </c>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2"/>
      <c r="AE189" s="69">
        <f>INDEX(smp_rev_sl5,1)*INDEX(ref_scn_rev,1)</f>
        <v>25000</v>
      </c>
      <c r="AF189" s="69">
        <f>INDEX(smp_rev_sl5,2)*INDEX(ref_scn_rev,1)</f>
        <v>25000</v>
      </c>
      <c r="AG189" s="69">
        <f>INDEX(smp_rev_sl5,3)*INDEX(ref_scn_rev,1)</f>
        <v>25000</v>
      </c>
      <c r="AH189" s="69">
        <f>INDEX(smp_rev_sl5,4)*INDEX(ref_scn_rev,1)</f>
        <v>25000</v>
      </c>
      <c r="AI189" s="69">
        <f>INDEX(smp_rev_sl5,5)*INDEX(ref_scn_rev,1)</f>
        <v>25000</v>
      </c>
      <c r="AJ189" s="69">
        <f>INDEX(smp_rev_sl5,6)*INDEX(ref_scn_rev,1)</f>
        <v>25000</v>
      </c>
      <c r="AK189" s="69">
        <f>INDEX(smp_rev_sl5,7)*INDEX(ref_scn_rev,1)</f>
        <v>25000</v>
      </c>
      <c r="AL189" s="69">
        <f>INDEX(smp_rev_sl5,8)*INDEX(ref_scn_rev,1)</f>
        <v>25000</v>
      </c>
      <c r="AM189" s="69">
        <f>INDEX(smp_rev_sl5,9)*INDEX(ref_scn_rev,1)</f>
        <v>25000</v>
      </c>
      <c r="AN189" s="69">
        <f>INDEX(smp_rev_sl5,10)*INDEX(ref_scn_rev,1)</f>
        <v>25000</v>
      </c>
      <c r="AO189" s="69">
        <f>INDEX(smp_rev_sl5,11)*INDEX(ref_scn_rev,1)</f>
        <v>25000</v>
      </c>
      <c r="AP189" s="69">
        <f>INDEX(smp_rev_sl5,12)*INDEX(ref_scn_rev,1)</f>
        <v>25000</v>
      </c>
      <c r="AQ189" s="69">
        <f>INDEX(smp_rev_sl5,13)*INDEX(ref_scn_rev,1)</f>
        <v>27000</v>
      </c>
      <c r="AR189" s="69">
        <f>INDEX(smp_rev_sl5,14)*INDEX(ref_scn_rev,1)</f>
        <v>27000</v>
      </c>
      <c r="AS189" s="69">
        <f>INDEX(smp_rev_sl5,15)*INDEX(ref_scn_rev,1)</f>
        <v>27000</v>
      </c>
      <c r="AT189" s="69">
        <f>INDEX(smp_rev_sl5,16)*INDEX(ref_scn_rev,1)</f>
        <v>27000</v>
      </c>
      <c r="AU189" s="69">
        <f>INDEX(smp_rev_sl5,17)*INDEX(ref_scn_rev,1)</f>
        <v>27000</v>
      </c>
      <c r="AV189" s="69">
        <f>INDEX(smp_rev_sl5,18)*INDEX(ref_scn_rev,1)</f>
        <v>27000</v>
      </c>
      <c r="AW189" s="69">
        <f>INDEX(smp_rev_sl5,19)*INDEX(ref_scn_rev,1)</f>
        <v>27000</v>
      </c>
      <c r="AX189" s="69">
        <f>INDEX(smp_rev_sl5,20)*INDEX(ref_scn_rev,1)</f>
        <v>27000</v>
      </c>
      <c r="AY189" s="69">
        <f>INDEX(smp_rev_sl5,21)*INDEX(ref_scn_rev,1)</f>
        <v>27000</v>
      </c>
      <c r="AZ189" s="69">
        <f>INDEX(smp_rev_sl5,22)*INDEX(ref_scn_rev,1)</f>
        <v>27000</v>
      </c>
      <c r="BA189" s="69">
        <f>INDEX(smp_rev_sl5,23)*INDEX(ref_scn_rev,1)</f>
        <v>27000</v>
      </c>
      <c r="BB189" s="69">
        <f>INDEX(smp_rev_sl5,24)*INDEX(ref_scn_rev,1)</f>
        <v>27000</v>
      </c>
      <c r="BC189" s="70">
        <f t="shared" si="80"/>
        <v>300000</v>
      </c>
      <c r="BD189" s="70">
        <f t="shared" si="81"/>
        <v>324000</v>
      </c>
      <c r="BE189" s="2"/>
      <c r="BF189" s="69">
        <f>INDEX(smp_rev_sl5,1)*INDEX(ref_scn_rev,2)</f>
        <v>21250</v>
      </c>
      <c r="BG189" s="69">
        <f>INDEX(smp_rev_sl5,2)*INDEX(ref_scn_rev,2)</f>
        <v>21250</v>
      </c>
      <c r="BH189" s="69">
        <f>INDEX(smp_rev_sl5,3)*INDEX(ref_scn_rev,2)</f>
        <v>21250</v>
      </c>
      <c r="BI189" s="69">
        <f>INDEX(smp_rev_sl5,4)*INDEX(ref_scn_rev,2)</f>
        <v>21250</v>
      </c>
      <c r="BJ189" s="69">
        <f>INDEX(smp_rev_sl5,5)*INDEX(ref_scn_rev,2)</f>
        <v>21250</v>
      </c>
      <c r="BK189" s="69">
        <f>INDEX(smp_rev_sl5,6)*INDEX(ref_scn_rev,2)</f>
        <v>21250</v>
      </c>
      <c r="BL189" s="69">
        <f>INDEX(smp_rev_sl5,7)*INDEX(ref_scn_rev,2)</f>
        <v>21250</v>
      </c>
      <c r="BM189" s="69">
        <f>INDEX(smp_rev_sl5,8)*INDEX(ref_scn_rev,2)</f>
        <v>21250</v>
      </c>
      <c r="BN189" s="69">
        <f>INDEX(smp_rev_sl5,9)*INDEX(ref_scn_rev,2)</f>
        <v>21250</v>
      </c>
      <c r="BO189" s="69">
        <f>INDEX(smp_rev_sl5,10)*INDEX(ref_scn_rev,2)</f>
        <v>21250</v>
      </c>
      <c r="BP189" s="69">
        <f>INDEX(smp_rev_sl5,11)*INDEX(ref_scn_rev,2)</f>
        <v>21250</v>
      </c>
      <c r="BQ189" s="69">
        <f>INDEX(smp_rev_sl5,12)*INDEX(ref_scn_rev,2)</f>
        <v>21250</v>
      </c>
      <c r="BR189" s="69">
        <f>INDEX(smp_rev_sl5,13)*INDEX(ref_scn_rev,2)</f>
        <v>22950</v>
      </c>
      <c r="BS189" s="69">
        <f>INDEX(smp_rev_sl5,14)*INDEX(ref_scn_rev,2)</f>
        <v>22950</v>
      </c>
      <c r="BT189" s="69">
        <f>INDEX(smp_rev_sl5,15)*INDEX(ref_scn_rev,2)</f>
        <v>22950</v>
      </c>
      <c r="BU189" s="69">
        <f>INDEX(smp_rev_sl5,16)*INDEX(ref_scn_rev,2)</f>
        <v>22950</v>
      </c>
      <c r="BV189" s="69">
        <f>INDEX(smp_rev_sl5,17)*INDEX(ref_scn_rev,2)</f>
        <v>22950</v>
      </c>
      <c r="BW189" s="69">
        <f>INDEX(smp_rev_sl5,18)*INDEX(ref_scn_rev,2)</f>
        <v>22950</v>
      </c>
      <c r="BX189" s="69">
        <f>INDEX(smp_rev_sl5,19)*INDEX(ref_scn_rev,2)</f>
        <v>22950</v>
      </c>
      <c r="BY189" s="69">
        <f>INDEX(smp_rev_sl5,20)*INDEX(ref_scn_rev,2)</f>
        <v>22950</v>
      </c>
      <c r="BZ189" s="69">
        <f>INDEX(smp_rev_sl5,21)*INDEX(ref_scn_rev,2)</f>
        <v>22950</v>
      </c>
      <c r="CA189" s="69">
        <f>INDEX(smp_rev_sl5,22)*INDEX(ref_scn_rev,2)</f>
        <v>22950</v>
      </c>
      <c r="CB189" s="69">
        <f>INDEX(smp_rev_sl5,23)*INDEX(ref_scn_rev,2)</f>
        <v>22950</v>
      </c>
      <c r="CC189" s="69">
        <f>INDEX(smp_rev_sl5,24)*INDEX(ref_scn_rev,2)</f>
        <v>22950</v>
      </c>
      <c r="CD189" s="70">
        <f t="shared" si="82"/>
        <v>255000</v>
      </c>
      <c r="CE189" s="70">
        <f t="shared" si="83"/>
        <v>275400</v>
      </c>
      <c r="CF189" s="2"/>
      <c r="CG189" s="69">
        <f>INDEX(smp_rev_sl5,1)*INDEX(ref_scn_rev,3)</f>
        <v>27500.000000000004</v>
      </c>
      <c r="CH189" s="69">
        <f>INDEX(smp_rev_sl5,2)*INDEX(ref_scn_rev,3)</f>
        <v>27500.000000000004</v>
      </c>
      <c r="CI189" s="69">
        <f>INDEX(smp_rev_sl5,3)*INDEX(ref_scn_rev,3)</f>
        <v>27500.000000000004</v>
      </c>
      <c r="CJ189" s="69">
        <f>INDEX(smp_rev_sl5,4)*INDEX(ref_scn_rev,3)</f>
        <v>27500.000000000004</v>
      </c>
      <c r="CK189" s="69">
        <f>INDEX(smp_rev_sl5,5)*INDEX(ref_scn_rev,3)</f>
        <v>27500.000000000004</v>
      </c>
      <c r="CL189" s="69">
        <f>INDEX(smp_rev_sl5,6)*INDEX(ref_scn_rev,3)</f>
        <v>27500.000000000004</v>
      </c>
      <c r="CM189" s="69">
        <f>INDEX(smp_rev_sl5,7)*INDEX(ref_scn_rev,3)</f>
        <v>27500.000000000004</v>
      </c>
      <c r="CN189" s="69">
        <f>INDEX(smp_rev_sl5,8)*INDEX(ref_scn_rev,3)</f>
        <v>27500.000000000004</v>
      </c>
      <c r="CO189" s="69">
        <f>INDEX(smp_rev_sl5,9)*INDEX(ref_scn_rev,3)</f>
        <v>27500.000000000004</v>
      </c>
      <c r="CP189" s="69">
        <f>INDEX(smp_rev_sl5,10)*INDEX(ref_scn_rev,3)</f>
        <v>27500.000000000004</v>
      </c>
      <c r="CQ189" s="69">
        <f>INDEX(smp_rev_sl5,11)*INDEX(ref_scn_rev,3)</f>
        <v>27500.000000000004</v>
      </c>
      <c r="CR189" s="69">
        <f>INDEX(smp_rev_sl5,12)*INDEX(ref_scn_rev,3)</f>
        <v>27500.000000000004</v>
      </c>
      <c r="CS189" s="69">
        <f>INDEX(smp_rev_sl5,13)*INDEX(ref_scn_rev,3)</f>
        <v>29700.000000000004</v>
      </c>
      <c r="CT189" s="69">
        <f>INDEX(smp_rev_sl5,14)*INDEX(ref_scn_rev,3)</f>
        <v>29700.000000000004</v>
      </c>
      <c r="CU189" s="69">
        <f>INDEX(smp_rev_sl5,15)*INDEX(ref_scn_rev,3)</f>
        <v>29700.000000000004</v>
      </c>
      <c r="CV189" s="69">
        <f>INDEX(smp_rev_sl5,16)*INDEX(ref_scn_rev,3)</f>
        <v>29700.000000000004</v>
      </c>
      <c r="CW189" s="69">
        <f>INDEX(smp_rev_sl5,17)*INDEX(ref_scn_rev,3)</f>
        <v>29700.000000000004</v>
      </c>
      <c r="CX189" s="69">
        <f>INDEX(smp_rev_sl5,18)*INDEX(ref_scn_rev,3)</f>
        <v>29700.000000000004</v>
      </c>
      <c r="CY189" s="69">
        <f>INDEX(smp_rev_sl5,19)*INDEX(ref_scn_rev,3)</f>
        <v>29700.000000000004</v>
      </c>
      <c r="CZ189" s="69">
        <f>INDEX(smp_rev_sl5,20)*INDEX(ref_scn_rev,3)</f>
        <v>29700.000000000004</v>
      </c>
      <c r="DA189" s="69">
        <f>INDEX(smp_rev_sl5,21)*INDEX(ref_scn_rev,3)</f>
        <v>29700.000000000004</v>
      </c>
      <c r="DB189" s="69">
        <f>INDEX(smp_rev_sl5,22)*INDEX(ref_scn_rev,3)</f>
        <v>29700.000000000004</v>
      </c>
      <c r="DC189" s="69">
        <f>INDEX(smp_rev_sl5,23)*INDEX(ref_scn_rev,3)</f>
        <v>29700.000000000004</v>
      </c>
      <c r="DD189" s="69">
        <f>INDEX(smp_rev_sl5,24)*INDEX(ref_scn_rev,3)</f>
        <v>29700.000000000004</v>
      </c>
      <c r="DE189" s="70">
        <f t="shared" si="84"/>
        <v>330000.00000000006</v>
      </c>
      <c r="DF189" s="70">
        <f t="shared" si="85"/>
        <v>356400.00000000006</v>
      </c>
      <c r="DG189"/>
      <c r="DH189"/>
    </row>
    <row r="190" spans="1:112" hidden="1" x14ac:dyDescent="0.2">
      <c r="A190" s="1"/>
      <c r="B190" s="35" t="s">
        <v>112</v>
      </c>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2"/>
      <c r="AE190" s="70">
        <f t="shared" ref="AE190:BB190" si="86">AE185+AE186+AE187+AE188+AE189</f>
        <v>360000</v>
      </c>
      <c r="AF190" s="70">
        <f t="shared" si="86"/>
        <v>375000</v>
      </c>
      <c r="AG190" s="70">
        <f t="shared" si="86"/>
        <v>392000</v>
      </c>
      <c r="AH190" s="70">
        <f t="shared" si="86"/>
        <v>408000</v>
      </c>
      <c r="AI190" s="70">
        <f t="shared" si="86"/>
        <v>423000</v>
      </c>
      <c r="AJ190" s="70">
        <f t="shared" si="86"/>
        <v>418000</v>
      </c>
      <c r="AK190" s="70">
        <f t="shared" si="86"/>
        <v>412000</v>
      </c>
      <c r="AL190" s="70">
        <f t="shared" si="86"/>
        <v>412000</v>
      </c>
      <c r="AM190" s="70">
        <f t="shared" si="86"/>
        <v>428000</v>
      </c>
      <c r="AN190" s="70">
        <f t="shared" si="86"/>
        <v>443000</v>
      </c>
      <c r="AO190" s="70">
        <f t="shared" si="86"/>
        <v>454000</v>
      </c>
      <c r="AP190" s="70">
        <f t="shared" si="86"/>
        <v>455000</v>
      </c>
      <c r="AQ190" s="70">
        <f t="shared" si="86"/>
        <v>456000</v>
      </c>
      <c r="AR190" s="70">
        <f t="shared" si="86"/>
        <v>470000</v>
      </c>
      <c r="AS190" s="70">
        <f t="shared" si="86"/>
        <v>484000</v>
      </c>
      <c r="AT190" s="70">
        <f t="shared" si="86"/>
        <v>500000</v>
      </c>
      <c r="AU190" s="70">
        <f t="shared" si="86"/>
        <v>511000</v>
      </c>
      <c r="AV190" s="70">
        <f t="shared" si="86"/>
        <v>510000</v>
      </c>
      <c r="AW190" s="70">
        <f t="shared" si="86"/>
        <v>504000</v>
      </c>
      <c r="AX190" s="70">
        <f t="shared" si="86"/>
        <v>505000</v>
      </c>
      <c r="AY190" s="70">
        <f t="shared" si="86"/>
        <v>515000</v>
      </c>
      <c r="AZ190" s="70">
        <f t="shared" si="86"/>
        <v>525000</v>
      </c>
      <c r="BA190" s="70">
        <f t="shared" si="86"/>
        <v>530000</v>
      </c>
      <c r="BB190" s="70">
        <f t="shared" si="86"/>
        <v>525000</v>
      </c>
      <c r="BC190" s="70">
        <f t="shared" si="80"/>
        <v>4980000</v>
      </c>
      <c r="BD190" s="70">
        <f t="shared" si="81"/>
        <v>6035000</v>
      </c>
      <c r="BE190" s="2"/>
      <c r="BF190" s="70">
        <f t="shared" ref="BF190:CC190" si="87">BF185+BF186+BF187+BF188+BF189</f>
        <v>306000</v>
      </c>
      <c r="BG190" s="70">
        <f t="shared" si="87"/>
        <v>318750</v>
      </c>
      <c r="BH190" s="70">
        <f t="shared" si="87"/>
        <v>333200</v>
      </c>
      <c r="BI190" s="70">
        <f t="shared" si="87"/>
        <v>346800</v>
      </c>
      <c r="BJ190" s="70">
        <f t="shared" si="87"/>
        <v>359550</v>
      </c>
      <c r="BK190" s="70">
        <f t="shared" si="87"/>
        <v>355300</v>
      </c>
      <c r="BL190" s="70">
        <f t="shared" si="87"/>
        <v>350200</v>
      </c>
      <c r="BM190" s="70">
        <f t="shared" si="87"/>
        <v>350200</v>
      </c>
      <c r="BN190" s="70">
        <f t="shared" si="87"/>
        <v>363800</v>
      </c>
      <c r="BO190" s="70">
        <f t="shared" si="87"/>
        <v>376550</v>
      </c>
      <c r="BP190" s="70">
        <f t="shared" si="87"/>
        <v>385900</v>
      </c>
      <c r="BQ190" s="70">
        <f t="shared" si="87"/>
        <v>386750</v>
      </c>
      <c r="BR190" s="70">
        <f t="shared" si="87"/>
        <v>387600</v>
      </c>
      <c r="BS190" s="70">
        <f t="shared" si="87"/>
        <v>399500</v>
      </c>
      <c r="BT190" s="70">
        <f t="shared" si="87"/>
        <v>411400</v>
      </c>
      <c r="BU190" s="70">
        <f t="shared" si="87"/>
        <v>425000</v>
      </c>
      <c r="BV190" s="70">
        <f t="shared" si="87"/>
        <v>434350</v>
      </c>
      <c r="BW190" s="70">
        <f t="shared" si="87"/>
        <v>433500</v>
      </c>
      <c r="BX190" s="70">
        <f t="shared" si="87"/>
        <v>428400</v>
      </c>
      <c r="BY190" s="70">
        <f t="shared" si="87"/>
        <v>429250</v>
      </c>
      <c r="BZ190" s="70">
        <f t="shared" si="87"/>
        <v>437750</v>
      </c>
      <c r="CA190" s="70">
        <f t="shared" si="87"/>
        <v>446250</v>
      </c>
      <c r="CB190" s="70">
        <f t="shared" si="87"/>
        <v>450500</v>
      </c>
      <c r="CC190" s="70">
        <f t="shared" si="87"/>
        <v>446250</v>
      </c>
      <c r="CD190" s="70">
        <f t="shared" si="82"/>
        <v>4233000</v>
      </c>
      <c r="CE190" s="70">
        <f t="shared" si="83"/>
        <v>5129750</v>
      </c>
      <c r="CF190" s="2"/>
      <c r="CG190" s="70">
        <f t="shared" ref="CG190:DD190" si="88">CG185+CG186+CG187+CG188+CG189</f>
        <v>396000</v>
      </c>
      <c r="CH190" s="70">
        <f t="shared" si="88"/>
        <v>412500</v>
      </c>
      <c r="CI190" s="70">
        <f t="shared" si="88"/>
        <v>431200</v>
      </c>
      <c r="CJ190" s="70">
        <f t="shared" si="88"/>
        <v>448800.00000000006</v>
      </c>
      <c r="CK190" s="70">
        <f t="shared" si="88"/>
        <v>465300.00000000006</v>
      </c>
      <c r="CL190" s="70">
        <f t="shared" si="88"/>
        <v>459800.00000000006</v>
      </c>
      <c r="CM190" s="70">
        <f t="shared" si="88"/>
        <v>453200</v>
      </c>
      <c r="CN190" s="70">
        <f t="shared" si="88"/>
        <v>453200</v>
      </c>
      <c r="CO190" s="70">
        <f t="shared" si="88"/>
        <v>470800.00000000006</v>
      </c>
      <c r="CP190" s="70">
        <f t="shared" si="88"/>
        <v>487300.00000000006</v>
      </c>
      <c r="CQ190" s="70">
        <f t="shared" si="88"/>
        <v>499400.00000000006</v>
      </c>
      <c r="CR190" s="70">
        <f t="shared" si="88"/>
        <v>500500.00000000006</v>
      </c>
      <c r="CS190" s="70">
        <f t="shared" si="88"/>
        <v>501600.00000000006</v>
      </c>
      <c r="CT190" s="70">
        <f t="shared" si="88"/>
        <v>517000</v>
      </c>
      <c r="CU190" s="70">
        <f t="shared" si="88"/>
        <v>532400</v>
      </c>
      <c r="CV190" s="70">
        <f t="shared" si="88"/>
        <v>550000</v>
      </c>
      <c r="CW190" s="70">
        <f t="shared" si="88"/>
        <v>562100</v>
      </c>
      <c r="CX190" s="70">
        <f t="shared" si="88"/>
        <v>561000</v>
      </c>
      <c r="CY190" s="70">
        <f t="shared" si="88"/>
        <v>554400</v>
      </c>
      <c r="CZ190" s="70">
        <f t="shared" si="88"/>
        <v>555500</v>
      </c>
      <c r="DA190" s="70">
        <f t="shared" si="88"/>
        <v>566500</v>
      </c>
      <c r="DB190" s="70">
        <f t="shared" si="88"/>
        <v>577500</v>
      </c>
      <c r="DC190" s="70">
        <f t="shared" si="88"/>
        <v>583000</v>
      </c>
      <c r="DD190" s="70">
        <f t="shared" si="88"/>
        <v>577500</v>
      </c>
      <c r="DE190" s="70">
        <f t="shared" si="84"/>
        <v>5478000</v>
      </c>
      <c r="DF190" s="70">
        <f t="shared" si="85"/>
        <v>6638500</v>
      </c>
      <c r="DG190"/>
      <c r="DH190"/>
    </row>
    <row r="191" spans="1:112" hidden="1" x14ac:dyDescent="0.2">
      <c r="A191" s="1"/>
      <c r="B191" s="35" t="s">
        <v>113</v>
      </c>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2"/>
      <c r="AE191" s="69">
        <f t="shared" ref="AE191:BB191" si="89">AE185*smp_dc_pct_sl1*INDEX(ref_scn_cost,1)</f>
        <v>32400</v>
      </c>
      <c r="AF191" s="69">
        <f t="shared" si="89"/>
        <v>32400</v>
      </c>
      <c r="AG191" s="69">
        <f t="shared" si="89"/>
        <v>33120</v>
      </c>
      <c r="AH191" s="69">
        <f t="shared" si="89"/>
        <v>34200</v>
      </c>
      <c r="AI191" s="69">
        <f t="shared" si="89"/>
        <v>35280</v>
      </c>
      <c r="AJ191" s="69">
        <f t="shared" si="89"/>
        <v>36000</v>
      </c>
      <c r="AK191" s="69">
        <f t="shared" si="89"/>
        <v>36720</v>
      </c>
      <c r="AL191" s="69">
        <f t="shared" si="89"/>
        <v>37800</v>
      </c>
      <c r="AM191" s="69">
        <f t="shared" si="89"/>
        <v>38880</v>
      </c>
      <c r="AN191" s="69">
        <f t="shared" si="89"/>
        <v>39600</v>
      </c>
      <c r="AO191" s="69">
        <f t="shared" si="89"/>
        <v>40320</v>
      </c>
      <c r="AP191" s="69">
        <f t="shared" si="89"/>
        <v>41400</v>
      </c>
      <c r="AQ191" s="69">
        <f t="shared" si="89"/>
        <v>42480</v>
      </c>
      <c r="AR191" s="69">
        <f t="shared" si="89"/>
        <v>43200</v>
      </c>
      <c r="AS191" s="69">
        <f t="shared" si="89"/>
        <v>43920</v>
      </c>
      <c r="AT191" s="69">
        <f t="shared" si="89"/>
        <v>45000</v>
      </c>
      <c r="AU191" s="69">
        <f t="shared" si="89"/>
        <v>46080</v>
      </c>
      <c r="AV191" s="69">
        <f t="shared" si="89"/>
        <v>46800</v>
      </c>
      <c r="AW191" s="69">
        <f t="shared" si="89"/>
        <v>47520</v>
      </c>
      <c r="AX191" s="69">
        <f t="shared" si="89"/>
        <v>48600</v>
      </c>
      <c r="AY191" s="69">
        <f t="shared" si="89"/>
        <v>48600</v>
      </c>
      <c r="AZ191" s="69">
        <f t="shared" si="89"/>
        <v>48600</v>
      </c>
      <c r="BA191" s="69">
        <f t="shared" si="89"/>
        <v>48600</v>
      </c>
      <c r="BB191" s="69">
        <f t="shared" si="89"/>
        <v>48600</v>
      </c>
      <c r="BC191" s="70">
        <f t="shared" si="80"/>
        <v>438120</v>
      </c>
      <c r="BD191" s="70">
        <f t="shared" si="81"/>
        <v>558000</v>
      </c>
      <c r="BE191" s="2"/>
      <c r="BF191" s="69">
        <f t="shared" ref="BF191:CC191" si="90">BF185*smp_dc_pct_sl1*INDEX(ref_scn_cost,2)</f>
        <v>28917</v>
      </c>
      <c r="BG191" s="69">
        <f t="shared" si="90"/>
        <v>28917</v>
      </c>
      <c r="BH191" s="69">
        <f t="shared" si="90"/>
        <v>29559.600000000002</v>
      </c>
      <c r="BI191" s="69">
        <f t="shared" si="90"/>
        <v>30523.5</v>
      </c>
      <c r="BJ191" s="69">
        <f t="shared" si="90"/>
        <v>31487.4</v>
      </c>
      <c r="BK191" s="69">
        <f t="shared" si="90"/>
        <v>32130</v>
      </c>
      <c r="BL191" s="69">
        <f t="shared" si="90"/>
        <v>32772.6</v>
      </c>
      <c r="BM191" s="69">
        <f t="shared" si="90"/>
        <v>33736.5</v>
      </c>
      <c r="BN191" s="69">
        <f t="shared" si="90"/>
        <v>34700.400000000001</v>
      </c>
      <c r="BO191" s="69">
        <f t="shared" si="90"/>
        <v>35343</v>
      </c>
      <c r="BP191" s="69">
        <f t="shared" si="90"/>
        <v>35985.599999999999</v>
      </c>
      <c r="BQ191" s="69">
        <f t="shared" si="90"/>
        <v>36949.5</v>
      </c>
      <c r="BR191" s="69">
        <f t="shared" si="90"/>
        <v>37913.4</v>
      </c>
      <c r="BS191" s="69">
        <f t="shared" si="90"/>
        <v>38556</v>
      </c>
      <c r="BT191" s="69">
        <f t="shared" si="90"/>
        <v>39198.6</v>
      </c>
      <c r="BU191" s="69">
        <f t="shared" si="90"/>
        <v>40162.5</v>
      </c>
      <c r="BV191" s="69">
        <f t="shared" si="90"/>
        <v>41126.400000000001</v>
      </c>
      <c r="BW191" s="69">
        <f t="shared" si="90"/>
        <v>41769</v>
      </c>
      <c r="BX191" s="69">
        <f t="shared" si="90"/>
        <v>42411.6</v>
      </c>
      <c r="BY191" s="69">
        <f t="shared" si="90"/>
        <v>43375.5</v>
      </c>
      <c r="BZ191" s="69">
        <f t="shared" si="90"/>
        <v>43375.5</v>
      </c>
      <c r="CA191" s="69">
        <f t="shared" si="90"/>
        <v>43375.5</v>
      </c>
      <c r="CB191" s="69">
        <f t="shared" si="90"/>
        <v>43375.5</v>
      </c>
      <c r="CC191" s="69">
        <f t="shared" si="90"/>
        <v>43375.5</v>
      </c>
      <c r="CD191" s="70">
        <f t="shared" si="82"/>
        <v>391022.1</v>
      </c>
      <c r="CE191" s="70">
        <f t="shared" si="83"/>
        <v>498015</v>
      </c>
      <c r="CF191" s="2"/>
      <c r="CG191" s="69">
        <f t="shared" ref="CG191:DD191" si="91">CG185*smp_dc_pct_sl1*INDEX(ref_scn_cost,3)</f>
        <v>34927.200000000004</v>
      </c>
      <c r="CH191" s="69">
        <f t="shared" si="91"/>
        <v>34927.200000000004</v>
      </c>
      <c r="CI191" s="69">
        <f t="shared" si="91"/>
        <v>35703.360000000008</v>
      </c>
      <c r="CJ191" s="69">
        <f t="shared" si="91"/>
        <v>36867.600000000006</v>
      </c>
      <c r="CK191" s="69">
        <f t="shared" si="91"/>
        <v>38031.840000000004</v>
      </c>
      <c r="CL191" s="69">
        <f t="shared" si="91"/>
        <v>38808.000000000007</v>
      </c>
      <c r="CM191" s="69">
        <f t="shared" si="91"/>
        <v>39584.160000000003</v>
      </c>
      <c r="CN191" s="69">
        <f t="shared" si="91"/>
        <v>40748.400000000009</v>
      </c>
      <c r="CO191" s="69">
        <f t="shared" si="91"/>
        <v>41912.640000000007</v>
      </c>
      <c r="CP191" s="69">
        <f t="shared" si="91"/>
        <v>42688.799999999996</v>
      </c>
      <c r="CQ191" s="69">
        <f t="shared" si="91"/>
        <v>43464.959999999999</v>
      </c>
      <c r="CR191" s="69">
        <f t="shared" si="91"/>
        <v>44629.2</v>
      </c>
      <c r="CS191" s="69">
        <f t="shared" si="91"/>
        <v>45793.440000000002</v>
      </c>
      <c r="CT191" s="69">
        <f t="shared" si="91"/>
        <v>46569.599999999999</v>
      </c>
      <c r="CU191" s="69">
        <f t="shared" si="91"/>
        <v>47345.760000000002</v>
      </c>
      <c r="CV191" s="69">
        <f t="shared" si="91"/>
        <v>48510</v>
      </c>
      <c r="CW191" s="69">
        <f t="shared" si="91"/>
        <v>49674.239999999998</v>
      </c>
      <c r="CX191" s="69">
        <f t="shared" si="91"/>
        <v>50450.400000000001</v>
      </c>
      <c r="CY191" s="69">
        <f t="shared" si="91"/>
        <v>51226.559999999998</v>
      </c>
      <c r="CZ191" s="69">
        <f t="shared" si="91"/>
        <v>52390.799999999996</v>
      </c>
      <c r="DA191" s="69">
        <f t="shared" si="91"/>
        <v>52390.799999999996</v>
      </c>
      <c r="DB191" s="69">
        <f t="shared" si="91"/>
        <v>52390.799999999996</v>
      </c>
      <c r="DC191" s="69">
        <f t="shared" si="91"/>
        <v>52390.799999999996</v>
      </c>
      <c r="DD191" s="69">
        <f t="shared" si="91"/>
        <v>52390.799999999996</v>
      </c>
      <c r="DE191" s="70">
        <f t="shared" si="84"/>
        <v>472293.36000000004</v>
      </c>
      <c r="DF191" s="70">
        <f t="shared" si="85"/>
        <v>601524</v>
      </c>
      <c r="DG191"/>
      <c r="DH191"/>
    </row>
    <row r="192" spans="1:112" hidden="1" x14ac:dyDescent="0.2">
      <c r="A192" s="1"/>
      <c r="B192" s="35" t="s">
        <v>114</v>
      </c>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2"/>
      <c r="AE192" s="69">
        <f t="shared" ref="AE192:BB192" si="92">AE186*smp_dc_pct_sl2*INDEX(ref_scn_cost,1)</f>
        <v>63000</v>
      </c>
      <c r="AF192" s="69">
        <f t="shared" si="92"/>
        <v>67500</v>
      </c>
      <c r="AG192" s="69">
        <f t="shared" si="92"/>
        <v>72000</v>
      </c>
      <c r="AH192" s="69">
        <f t="shared" si="92"/>
        <v>76500</v>
      </c>
      <c r="AI192" s="69">
        <f t="shared" si="92"/>
        <v>81000</v>
      </c>
      <c r="AJ192" s="69">
        <f t="shared" si="92"/>
        <v>76500</v>
      </c>
      <c r="AK192" s="69">
        <f t="shared" si="92"/>
        <v>72000</v>
      </c>
      <c r="AL192" s="69">
        <f t="shared" si="92"/>
        <v>69750</v>
      </c>
      <c r="AM192" s="69">
        <f t="shared" si="92"/>
        <v>74250</v>
      </c>
      <c r="AN192" s="69">
        <f t="shared" si="92"/>
        <v>78750</v>
      </c>
      <c r="AO192" s="69">
        <f t="shared" si="92"/>
        <v>81000</v>
      </c>
      <c r="AP192" s="69">
        <f t="shared" si="92"/>
        <v>78750</v>
      </c>
      <c r="AQ192" s="69">
        <f t="shared" si="92"/>
        <v>74250</v>
      </c>
      <c r="AR192" s="69">
        <f t="shared" si="92"/>
        <v>78750</v>
      </c>
      <c r="AS192" s="69">
        <f t="shared" si="92"/>
        <v>83250</v>
      </c>
      <c r="AT192" s="69">
        <f t="shared" si="92"/>
        <v>87750</v>
      </c>
      <c r="AU192" s="69">
        <f t="shared" si="92"/>
        <v>90000</v>
      </c>
      <c r="AV192" s="69">
        <f t="shared" si="92"/>
        <v>87750</v>
      </c>
      <c r="AW192" s="69">
        <f t="shared" si="92"/>
        <v>83250</v>
      </c>
      <c r="AX192" s="69">
        <f t="shared" si="92"/>
        <v>81000</v>
      </c>
      <c r="AY192" s="69">
        <f t="shared" si="92"/>
        <v>85500</v>
      </c>
      <c r="AZ192" s="69">
        <f t="shared" si="92"/>
        <v>90000</v>
      </c>
      <c r="BA192" s="69">
        <f t="shared" si="92"/>
        <v>92250</v>
      </c>
      <c r="BB192" s="69">
        <f t="shared" si="92"/>
        <v>90000</v>
      </c>
      <c r="BC192" s="70">
        <f t="shared" si="80"/>
        <v>891000</v>
      </c>
      <c r="BD192" s="70">
        <f t="shared" si="81"/>
        <v>1023750</v>
      </c>
      <c r="BE192" s="2"/>
      <c r="BF192" s="69">
        <f t="shared" ref="BF192:CC192" si="93">BF186*smp_dc_pct_sl2*INDEX(ref_scn_cost,2)</f>
        <v>56227.5</v>
      </c>
      <c r="BG192" s="69">
        <f t="shared" si="93"/>
        <v>60243.75</v>
      </c>
      <c r="BH192" s="69">
        <f t="shared" si="93"/>
        <v>64260</v>
      </c>
      <c r="BI192" s="69">
        <f t="shared" si="93"/>
        <v>68276.25</v>
      </c>
      <c r="BJ192" s="69">
        <f t="shared" si="93"/>
        <v>72292.5</v>
      </c>
      <c r="BK192" s="69">
        <f t="shared" si="93"/>
        <v>68276.25</v>
      </c>
      <c r="BL192" s="69">
        <f t="shared" si="93"/>
        <v>64260</v>
      </c>
      <c r="BM192" s="69">
        <f t="shared" si="93"/>
        <v>62251.875</v>
      </c>
      <c r="BN192" s="69">
        <f t="shared" si="93"/>
        <v>66268.125</v>
      </c>
      <c r="BO192" s="69">
        <f t="shared" si="93"/>
        <v>70284.375</v>
      </c>
      <c r="BP192" s="69">
        <f t="shared" si="93"/>
        <v>72292.5</v>
      </c>
      <c r="BQ192" s="69">
        <f t="shared" si="93"/>
        <v>70284.375</v>
      </c>
      <c r="BR192" s="69">
        <f t="shared" si="93"/>
        <v>66268.125</v>
      </c>
      <c r="BS192" s="69">
        <f t="shared" si="93"/>
        <v>70284.375</v>
      </c>
      <c r="BT192" s="69">
        <f t="shared" si="93"/>
        <v>74300.625</v>
      </c>
      <c r="BU192" s="69">
        <f t="shared" si="93"/>
        <v>78316.875</v>
      </c>
      <c r="BV192" s="69">
        <f t="shared" si="93"/>
        <v>80325</v>
      </c>
      <c r="BW192" s="69">
        <f t="shared" si="93"/>
        <v>78316.875</v>
      </c>
      <c r="BX192" s="69">
        <f t="shared" si="93"/>
        <v>74300.625</v>
      </c>
      <c r="BY192" s="69">
        <f t="shared" si="93"/>
        <v>72292.5</v>
      </c>
      <c r="BZ192" s="69">
        <f t="shared" si="93"/>
        <v>76308.75</v>
      </c>
      <c r="CA192" s="69">
        <f t="shared" si="93"/>
        <v>80325</v>
      </c>
      <c r="CB192" s="69">
        <f t="shared" si="93"/>
        <v>82333.125</v>
      </c>
      <c r="CC192" s="69">
        <f t="shared" si="93"/>
        <v>80325</v>
      </c>
      <c r="CD192" s="70">
        <f t="shared" si="82"/>
        <v>795217.5</v>
      </c>
      <c r="CE192" s="70">
        <f t="shared" si="83"/>
        <v>913696.875</v>
      </c>
      <c r="CF192" s="2"/>
      <c r="CG192" s="69">
        <f t="shared" ref="CG192:DD192" si="94">CG186*smp_dc_pct_sl2*INDEX(ref_scn_cost,3)</f>
        <v>67914</v>
      </c>
      <c r="CH192" s="69">
        <f t="shared" si="94"/>
        <v>72765</v>
      </c>
      <c r="CI192" s="69">
        <f t="shared" si="94"/>
        <v>77616</v>
      </c>
      <c r="CJ192" s="69">
        <f t="shared" si="94"/>
        <v>82467.000000000015</v>
      </c>
      <c r="CK192" s="69">
        <f t="shared" si="94"/>
        <v>87318.000000000015</v>
      </c>
      <c r="CL192" s="69">
        <f t="shared" si="94"/>
        <v>82467.000000000015</v>
      </c>
      <c r="CM192" s="69">
        <f t="shared" si="94"/>
        <v>77616</v>
      </c>
      <c r="CN192" s="69">
        <f t="shared" si="94"/>
        <v>75190.5</v>
      </c>
      <c r="CO192" s="69">
        <f t="shared" si="94"/>
        <v>80041.500000000015</v>
      </c>
      <c r="CP192" s="69">
        <f t="shared" si="94"/>
        <v>84892.500000000015</v>
      </c>
      <c r="CQ192" s="69">
        <f t="shared" si="94"/>
        <v>87318.000000000015</v>
      </c>
      <c r="CR192" s="69">
        <f t="shared" si="94"/>
        <v>84892.500000000015</v>
      </c>
      <c r="CS192" s="69">
        <f t="shared" si="94"/>
        <v>80041.500000000015</v>
      </c>
      <c r="CT192" s="69">
        <f t="shared" si="94"/>
        <v>84892.500000000015</v>
      </c>
      <c r="CU192" s="69">
        <f t="shared" si="94"/>
        <v>89743.500000000015</v>
      </c>
      <c r="CV192" s="69">
        <f t="shared" si="94"/>
        <v>94594.500000000015</v>
      </c>
      <c r="CW192" s="69">
        <f t="shared" si="94"/>
        <v>97020.000000000015</v>
      </c>
      <c r="CX192" s="69">
        <f t="shared" si="94"/>
        <v>94594.500000000015</v>
      </c>
      <c r="CY192" s="69">
        <f t="shared" si="94"/>
        <v>89743.500000000015</v>
      </c>
      <c r="CZ192" s="69">
        <f t="shared" si="94"/>
        <v>87318.000000000015</v>
      </c>
      <c r="DA192" s="69">
        <f t="shared" si="94"/>
        <v>92169.000000000015</v>
      </c>
      <c r="DB192" s="69">
        <f t="shared" si="94"/>
        <v>97020.000000000015</v>
      </c>
      <c r="DC192" s="69">
        <f t="shared" si="94"/>
        <v>99445.500000000015</v>
      </c>
      <c r="DD192" s="69">
        <f t="shared" si="94"/>
        <v>97020.000000000015</v>
      </c>
      <c r="DE192" s="70">
        <f t="shared" si="84"/>
        <v>960498</v>
      </c>
      <c r="DF192" s="70">
        <f t="shared" si="85"/>
        <v>1103602.5000000002</v>
      </c>
      <c r="DG192"/>
      <c r="DH192"/>
    </row>
    <row r="193" spans="1:112" hidden="1" x14ac:dyDescent="0.2">
      <c r="A193" s="1"/>
      <c r="B193" s="35" t="s">
        <v>115</v>
      </c>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2"/>
      <c r="AE193" s="69">
        <f t="shared" ref="AE193:BB193" si="95">AE187*smp_dc_pct_sl3*INDEX(ref_scn_cost,1)</f>
        <v>19200</v>
      </c>
      <c r="AF193" s="69">
        <f t="shared" si="95"/>
        <v>20800</v>
      </c>
      <c r="AG193" s="69">
        <f t="shared" si="95"/>
        <v>22400</v>
      </c>
      <c r="AH193" s="69">
        <f t="shared" si="95"/>
        <v>23360</v>
      </c>
      <c r="AI193" s="69">
        <f t="shared" si="95"/>
        <v>24000</v>
      </c>
      <c r="AJ193" s="69">
        <f t="shared" si="95"/>
        <v>24960</v>
      </c>
      <c r="AK193" s="69">
        <f t="shared" si="95"/>
        <v>25600</v>
      </c>
      <c r="AL193" s="69">
        <f t="shared" si="95"/>
        <v>26240</v>
      </c>
      <c r="AM193" s="69">
        <f t="shared" si="95"/>
        <v>27200</v>
      </c>
      <c r="AN193" s="69">
        <f t="shared" si="95"/>
        <v>28160</v>
      </c>
      <c r="AO193" s="69">
        <f t="shared" si="95"/>
        <v>29440</v>
      </c>
      <c r="AP193" s="69">
        <f t="shared" si="95"/>
        <v>30400</v>
      </c>
      <c r="AQ193" s="69">
        <f t="shared" si="95"/>
        <v>31360</v>
      </c>
      <c r="AR193" s="69">
        <f t="shared" si="95"/>
        <v>32000</v>
      </c>
      <c r="AS193" s="69">
        <f t="shared" si="95"/>
        <v>32640</v>
      </c>
      <c r="AT193" s="69">
        <f t="shared" si="95"/>
        <v>33600</v>
      </c>
      <c r="AU193" s="69">
        <f t="shared" si="95"/>
        <v>34560</v>
      </c>
      <c r="AV193" s="69">
        <f t="shared" si="95"/>
        <v>35200</v>
      </c>
      <c r="AW193" s="69">
        <f t="shared" si="95"/>
        <v>35840</v>
      </c>
      <c r="AX193" s="69">
        <f t="shared" si="95"/>
        <v>36800</v>
      </c>
      <c r="AY193" s="69">
        <f t="shared" si="95"/>
        <v>36800</v>
      </c>
      <c r="AZ193" s="69">
        <f t="shared" si="95"/>
        <v>36800</v>
      </c>
      <c r="BA193" s="69">
        <f t="shared" si="95"/>
        <v>36800</v>
      </c>
      <c r="BB193" s="69">
        <f t="shared" si="95"/>
        <v>36800</v>
      </c>
      <c r="BC193" s="70">
        <f t="shared" si="80"/>
        <v>301760</v>
      </c>
      <c r="BD193" s="70">
        <f t="shared" si="81"/>
        <v>419200</v>
      </c>
      <c r="BE193" s="2"/>
      <c r="BF193" s="69">
        <f t="shared" ref="BF193:CC193" si="96">BF187*smp_dc_pct_sl3*INDEX(ref_scn_cost,2)</f>
        <v>17136</v>
      </c>
      <c r="BG193" s="69">
        <f t="shared" si="96"/>
        <v>18564</v>
      </c>
      <c r="BH193" s="69">
        <f t="shared" si="96"/>
        <v>19992</v>
      </c>
      <c r="BI193" s="69">
        <f t="shared" si="96"/>
        <v>20848.8</v>
      </c>
      <c r="BJ193" s="69">
        <f t="shared" si="96"/>
        <v>21420</v>
      </c>
      <c r="BK193" s="69">
        <f t="shared" si="96"/>
        <v>22276.799999999999</v>
      </c>
      <c r="BL193" s="69">
        <f t="shared" si="96"/>
        <v>22848</v>
      </c>
      <c r="BM193" s="69">
        <f t="shared" si="96"/>
        <v>23419.200000000001</v>
      </c>
      <c r="BN193" s="69">
        <f t="shared" si="96"/>
        <v>24276</v>
      </c>
      <c r="BO193" s="69">
        <f t="shared" si="96"/>
        <v>25132.799999999999</v>
      </c>
      <c r="BP193" s="69">
        <f t="shared" si="96"/>
        <v>26275.200000000001</v>
      </c>
      <c r="BQ193" s="69">
        <f t="shared" si="96"/>
        <v>27132</v>
      </c>
      <c r="BR193" s="69">
        <f t="shared" si="96"/>
        <v>27988.800000000003</v>
      </c>
      <c r="BS193" s="69">
        <f t="shared" si="96"/>
        <v>28560</v>
      </c>
      <c r="BT193" s="69">
        <f t="shared" si="96"/>
        <v>29131.200000000001</v>
      </c>
      <c r="BU193" s="69">
        <f t="shared" si="96"/>
        <v>29988</v>
      </c>
      <c r="BV193" s="69">
        <f t="shared" si="96"/>
        <v>30844.800000000003</v>
      </c>
      <c r="BW193" s="69">
        <f t="shared" si="96"/>
        <v>31416</v>
      </c>
      <c r="BX193" s="69">
        <f t="shared" si="96"/>
        <v>31987.200000000001</v>
      </c>
      <c r="BY193" s="69">
        <f t="shared" si="96"/>
        <v>32844</v>
      </c>
      <c r="BZ193" s="69">
        <f t="shared" si="96"/>
        <v>32844</v>
      </c>
      <c r="CA193" s="69">
        <f t="shared" si="96"/>
        <v>32844</v>
      </c>
      <c r="CB193" s="69">
        <f t="shared" si="96"/>
        <v>32844</v>
      </c>
      <c r="CC193" s="69">
        <f t="shared" si="96"/>
        <v>32844</v>
      </c>
      <c r="CD193" s="70">
        <f t="shared" si="82"/>
        <v>269320.80000000005</v>
      </c>
      <c r="CE193" s="70">
        <f t="shared" si="83"/>
        <v>374136</v>
      </c>
      <c r="CF193" s="2"/>
      <c r="CG193" s="69">
        <f t="shared" ref="CG193:DD193" si="97">CG187*smp_dc_pct_sl3*INDEX(ref_scn_cost,3)</f>
        <v>20697.599999999999</v>
      </c>
      <c r="CH193" s="69">
        <f t="shared" si="97"/>
        <v>22422.399999999998</v>
      </c>
      <c r="CI193" s="69">
        <f t="shared" si="97"/>
        <v>24147.200000000001</v>
      </c>
      <c r="CJ193" s="69">
        <f t="shared" si="97"/>
        <v>25182.079999999998</v>
      </c>
      <c r="CK193" s="69">
        <f t="shared" si="97"/>
        <v>25872</v>
      </c>
      <c r="CL193" s="69">
        <f t="shared" si="97"/>
        <v>26906.880000000001</v>
      </c>
      <c r="CM193" s="69">
        <f t="shared" si="97"/>
        <v>27596.799999999999</v>
      </c>
      <c r="CN193" s="69">
        <f t="shared" si="97"/>
        <v>28286.720000000005</v>
      </c>
      <c r="CO193" s="69">
        <f t="shared" si="97"/>
        <v>29321.600000000002</v>
      </c>
      <c r="CP193" s="69">
        <f t="shared" si="97"/>
        <v>30356.480000000003</v>
      </c>
      <c r="CQ193" s="69">
        <f t="shared" si="97"/>
        <v>31736.320000000003</v>
      </c>
      <c r="CR193" s="69">
        <f t="shared" si="97"/>
        <v>32771.200000000004</v>
      </c>
      <c r="CS193" s="69">
        <f t="shared" si="97"/>
        <v>33806.080000000009</v>
      </c>
      <c r="CT193" s="69">
        <f t="shared" si="97"/>
        <v>34496.000000000007</v>
      </c>
      <c r="CU193" s="69">
        <f t="shared" si="97"/>
        <v>35185.920000000006</v>
      </c>
      <c r="CV193" s="69">
        <f t="shared" si="97"/>
        <v>36220.800000000003</v>
      </c>
      <c r="CW193" s="69">
        <f t="shared" si="97"/>
        <v>37255.680000000008</v>
      </c>
      <c r="CX193" s="69">
        <f t="shared" si="97"/>
        <v>37945.600000000006</v>
      </c>
      <c r="CY193" s="69">
        <f t="shared" si="97"/>
        <v>38635.520000000004</v>
      </c>
      <c r="CZ193" s="69">
        <f t="shared" si="97"/>
        <v>39670.400000000009</v>
      </c>
      <c r="DA193" s="69">
        <f t="shared" si="97"/>
        <v>39670.400000000009</v>
      </c>
      <c r="DB193" s="69">
        <f t="shared" si="97"/>
        <v>39670.400000000009</v>
      </c>
      <c r="DC193" s="69">
        <f t="shared" si="97"/>
        <v>39670.400000000009</v>
      </c>
      <c r="DD193" s="69">
        <f t="shared" si="97"/>
        <v>39670.400000000009</v>
      </c>
      <c r="DE193" s="70">
        <f t="shared" si="84"/>
        <v>325297.28000000003</v>
      </c>
      <c r="DF193" s="70">
        <f t="shared" si="85"/>
        <v>451897.60000000015</v>
      </c>
      <c r="DG193"/>
      <c r="DH193"/>
    </row>
    <row r="194" spans="1:112" hidden="1" x14ac:dyDescent="0.2">
      <c r="A194" s="1"/>
      <c r="B194" s="35" t="s">
        <v>116</v>
      </c>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2"/>
      <c r="AE194" s="69">
        <f t="shared" ref="AE194:BB194" si="98">AE188*smp_dc_pct_sl4*INDEX(ref_scn_cost,1)</f>
        <v>22500</v>
      </c>
      <c r="AF194" s="69">
        <f t="shared" si="98"/>
        <v>22500</v>
      </c>
      <c r="AG194" s="69">
        <f t="shared" si="98"/>
        <v>22500</v>
      </c>
      <c r="AH194" s="69">
        <f t="shared" si="98"/>
        <v>22500</v>
      </c>
      <c r="AI194" s="69">
        <f t="shared" si="98"/>
        <v>22500</v>
      </c>
      <c r="AJ194" s="69">
        <f t="shared" si="98"/>
        <v>22500</v>
      </c>
      <c r="AK194" s="69">
        <f t="shared" si="98"/>
        <v>22500</v>
      </c>
      <c r="AL194" s="69">
        <f t="shared" si="98"/>
        <v>22500</v>
      </c>
      <c r="AM194" s="69">
        <f t="shared" si="98"/>
        <v>22500</v>
      </c>
      <c r="AN194" s="69">
        <f t="shared" si="98"/>
        <v>22500</v>
      </c>
      <c r="AO194" s="69">
        <f t="shared" si="98"/>
        <v>22500</v>
      </c>
      <c r="AP194" s="69">
        <f t="shared" si="98"/>
        <v>22500</v>
      </c>
      <c r="AQ194" s="69">
        <f t="shared" si="98"/>
        <v>24000</v>
      </c>
      <c r="AR194" s="69">
        <f t="shared" si="98"/>
        <v>24000</v>
      </c>
      <c r="AS194" s="69">
        <f t="shared" si="98"/>
        <v>24000</v>
      </c>
      <c r="AT194" s="69">
        <f t="shared" si="98"/>
        <v>24000</v>
      </c>
      <c r="AU194" s="69">
        <f t="shared" si="98"/>
        <v>24000</v>
      </c>
      <c r="AV194" s="69">
        <f t="shared" si="98"/>
        <v>24000</v>
      </c>
      <c r="AW194" s="69">
        <f t="shared" si="98"/>
        <v>24000</v>
      </c>
      <c r="AX194" s="69">
        <f t="shared" si="98"/>
        <v>24000</v>
      </c>
      <c r="AY194" s="69">
        <f t="shared" si="98"/>
        <v>24000</v>
      </c>
      <c r="AZ194" s="69">
        <f t="shared" si="98"/>
        <v>24000</v>
      </c>
      <c r="BA194" s="69">
        <f t="shared" si="98"/>
        <v>24000</v>
      </c>
      <c r="BB194" s="69">
        <f t="shared" si="98"/>
        <v>24000</v>
      </c>
      <c r="BC194" s="70">
        <f t="shared" si="80"/>
        <v>270000</v>
      </c>
      <c r="BD194" s="70">
        <f t="shared" si="81"/>
        <v>288000</v>
      </c>
      <c r="BE194" s="2"/>
      <c r="BF194" s="69">
        <f t="shared" ref="BF194:CC194" si="99">BF188*smp_dc_pct_sl4*INDEX(ref_scn_cost,2)</f>
        <v>20081.25</v>
      </c>
      <c r="BG194" s="69">
        <f t="shared" si="99"/>
        <v>20081.25</v>
      </c>
      <c r="BH194" s="69">
        <f t="shared" si="99"/>
        <v>20081.25</v>
      </c>
      <c r="BI194" s="69">
        <f t="shared" si="99"/>
        <v>20081.25</v>
      </c>
      <c r="BJ194" s="69">
        <f t="shared" si="99"/>
        <v>20081.25</v>
      </c>
      <c r="BK194" s="69">
        <f t="shared" si="99"/>
        <v>20081.25</v>
      </c>
      <c r="BL194" s="69">
        <f t="shared" si="99"/>
        <v>20081.25</v>
      </c>
      <c r="BM194" s="69">
        <f t="shared" si="99"/>
        <v>20081.25</v>
      </c>
      <c r="BN194" s="69">
        <f t="shared" si="99"/>
        <v>20081.25</v>
      </c>
      <c r="BO194" s="69">
        <f t="shared" si="99"/>
        <v>20081.25</v>
      </c>
      <c r="BP194" s="69">
        <f t="shared" si="99"/>
        <v>20081.25</v>
      </c>
      <c r="BQ194" s="69">
        <f t="shared" si="99"/>
        <v>20081.25</v>
      </c>
      <c r="BR194" s="69">
        <f t="shared" si="99"/>
        <v>21420</v>
      </c>
      <c r="BS194" s="69">
        <f t="shared" si="99"/>
        <v>21420</v>
      </c>
      <c r="BT194" s="69">
        <f t="shared" si="99"/>
        <v>21420</v>
      </c>
      <c r="BU194" s="69">
        <f t="shared" si="99"/>
        <v>21420</v>
      </c>
      <c r="BV194" s="69">
        <f t="shared" si="99"/>
        <v>21420</v>
      </c>
      <c r="BW194" s="69">
        <f t="shared" si="99"/>
        <v>21420</v>
      </c>
      <c r="BX194" s="69">
        <f t="shared" si="99"/>
        <v>21420</v>
      </c>
      <c r="BY194" s="69">
        <f t="shared" si="99"/>
        <v>21420</v>
      </c>
      <c r="BZ194" s="69">
        <f t="shared" si="99"/>
        <v>21420</v>
      </c>
      <c r="CA194" s="69">
        <f t="shared" si="99"/>
        <v>21420</v>
      </c>
      <c r="CB194" s="69">
        <f t="shared" si="99"/>
        <v>21420</v>
      </c>
      <c r="CC194" s="69">
        <f t="shared" si="99"/>
        <v>21420</v>
      </c>
      <c r="CD194" s="70">
        <f t="shared" si="82"/>
        <v>240975</v>
      </c>
      <c r="CE194" s="70">
        <f t="shared" si="83"/>
        <v>257040</v>
      </c>
      <c r="CF194" s="2"/>
      <c r="CG194" s="69">
        <f t="shared" ref="CG194:DD194" si="100">CG188*smp_dc_pct_sl4*INDEX(ref_scn_cost,3)</f>
        <v>24255.000000000004</v>
      </c>
      <c r="CH194" s="69">
        <f t="shared" si="100"/>
        <v>24255.000000000004</v>
      </c>
      <c r="CI194" s="69">
        <f t="shared" si="100"/>
        <v>24255.000000000004</v>
      </c>
      <c r="CJ194" s="69">
        <f t="shared" si="100"/>
        <v>24255.000000000004</v>
      </c>
      <c r="CK194" s="69">
        <f t="shared" si="100"/>
        <v>24255.000000000004</v>
      </c>
      <c r="CL194" s="69">
        <f t="shared" si="100"/>
        <v>24255.000000000004</v>
      </c>
      <c r="CM194" s="69">
        <f t="shared" si="100"/>
        <v>24255.000000000004</v>
      </c>
      <c r="CN194" s="69">
        <f t="shared" si="100"/>
        <v>24255.000000000004</v>
      </c>
      <c r="CO194" s="69">
        <f t="shared" si="100"/>
        <v>24255.000000000004</v>
      </c>
      <c r="CP194" s="69">
        <f t="shared" si="100"/>
        <v>24255.000000000004</v>
      </c>
      <c r="CQ194" s="69">
        <f t="shared" si="100"/>
        <v>24255.000000000004</v>
      </c>
      <c r="CR194" s="69">
        <f t="shared" si="100"/>
        <v>24255.000000000004</v>
      </c>
      <c r="CS194" s="69">
        <f t="shared" si="100"/>
        <v>25872.000000000004</v>
      </c>
      <c r="CT194" s="69">
        <f t="shared" si="100"/>
        <v>25872.000000000004</v>
      </c>
      <c r="CU194" s="69">
        <f t="shared" si="100"/>
        <v>25872.000000000004</v>
      </c>
      <c r="CV194" s="69">
        <f t="shared" si="100"/>
        <v>25872.000000000004</v>
      </c>
      <c r="CW194" s="69">
        <f t="shared" si="100"/>
        <v>25872.000000000004</v>
      </c>
      <c r="CX194" s="69">
        <f t="shared" si="100"/>
        <v>25872.000000000004</v>
      </c>
      <c r="CY194" s="69">
        <f t="shared" si="100"/>
        <v>25872.000000000004</v>
      </c>
      <c r="CZ194" s="69">
        <f t="shared" si="100"/>
        <v>25872.000000000004</v>
      </c>
      <c r="DA194" s="69">
        <f t="shared" si="100"/>
        <v>25872.000000000004</v>
      </c>
      <c r="DB194" s="69">
        <f t="shared" si="100"/>
        <v>25872.000000000004</v>
      </c>
      <c r="DC194" s="69">
        <f t="shared" si="100"/>
        <v>25872.000000000004</v>
      </c>
      <c r="DD194" s="69">
        <f t="shared" si="100"/>
        <v>25872.000000000004</v>
      </c>
      <c r="DE194" s="70">
        <f t="shared" si="84"/>
        <v>291060.00000000006</v>
      </c>
      <c r="DF194" s="70">
        <f t="shared" si="85"/>
        <v>310464.00000000006</v>
      </c>
      <c r="DG194"/>
      <c r="DH194"/>
    </row>
    <row r="195" spans="1:112" hidden="1" x14ac:dyDescent="0.2">
      <c r="A195" s="1"/>
      <c r="B195" s="35" t="s">
        <v>117</v>
      </c>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2"/>
      <c r="AE195" s="69">
        <f t="shared" ref="AE195:BB195" si="101">AE189*smp_dc_pct_sl5*INDEX(ref_scn_cost,1)</f>
        <v>21250</v>
      </c>
      <c r="AF195" s="69">
        <f t="shared" si="101"/>
        <v>21250</v>
      </c>
      <c r="AG195" s="69">
        <f t="shared" si="101"/>
        <v>21250</v>
      </c>
      <c r="AH195" s="69">
        <f t="shared" si="101"/>
        <v>21250</v>
      </c>
      <c r="AI195" s="69">
        <f t="shared" si="101"/>
        <v>21250</v>
      </c>
      <c r="AJ195" s="69">
        <f t="shared" si="101"/>
        <v>21250</v>
      </c>
      <c r="AK195" s="69">
        <f t="shared" si="101"/>
        <v>21250</v>
      </c>
      <c r="AL195" s="69">
        <f t="shared" si="101"/>
        <v>21250</v>
      </c>
      <c r="AM195" s="69">
        <f t="shared" si="101"/>
        <v>21250</v>
      </c>
      <c r="AN195" s="69">
        <f t="shared" si="101"/>
        <v>21250</v>
      </c>
      <c r="AO195" s="69">
        <f t="shared" si="101"/>
        <v>21250</v>
      </c>
      <c r="AP195" s="69">
        <f t="shared" si="101"/>
        <v>21250</v>
      </c>
      <c r="AQ195" s="69">
        <f t="shared" si="101"/>
        <v>22950</v>
      </c>
      <c r="AR195" s="69">
        <f t="shared" si="101"/>
        <v>22950</v>
      </c>
      <c r="AS195" s="69">
        <f t="shared" si="101"/>
        <v>22950</v>
      </c>
      <c r="AT195" s="69">
        <f t="shared" si="101"/>
        <v>22950</v>
      </c>
      <c r="AU195" s="69">
        <f t="shared" si="101"/>
        <v>22950</v>
      </c>
      <c r="AV195" s="69">
        <f t="shared" si="101"/>
        <v>22950</v>
      </c>
      <c r="AW195" s="69">
        <f t="shared" si="101"/>
        <v>22950</v>
      </c>
      <c r="AX195" s="69">
        <f t="shared" si="101"/>
        <v>22950</v>
      </c>
      <c r="AY195" s="69">
        <f t="shared" si="101"/>
        <v>22950</v>
      </c>
      <c r="AZ195" s="69">
        <f t="shared" si="101"/>
        <v>22950</v>
      </c>
      <c r="BA195" s="69">
        <f t="shared" si="101"/>
        <v>22950</v>
      </c>
      <c r="BB195" s="69">
        <f t="shared" si="101"/>
        <v>22950</v>
      </c>
      <c r="BC195" s="70">
        <f t="shared" si="80"/>
        <v>255000</v>
      </c>
      <c r="BD195" s="70">
        <f t="shared" si="81"/>
        <v>275400</v>
      </c>
      <c r="BE195" s="2"/>
      <c r="BF195" s="69">
        <f t="shared" ref="BF195:CC195" si="102">BF189*smp_dc_pct_sl5*INDEX(ref_scn_cost,2)</f>
        <v>18965.625</v>
      </c>
      <c r="BG195" s="69">
        <f t="shared" si="102"/>
        <v>18965.625</v>
      </c>
      <c r="BH195" s="69">
        <f t="shared" si="102"/>
        <v>18965.625</v>
      </c>
      <c r="BI195" s="69">
        <f t="shared" si="102"/>
        <v>18965.625</v>
      </c>
      <c r="BJ195" s="69">
        <f t="shared" si="102"/>
        <v>18965.625</v>
      </c>
      <c r="BK195" s="69">
        <f t="shared" si="102"/>
        <v>18965.625</v>
      </c>
      <c r="BL195" s="69">
        <f t="shared" si="102"/>
        <v>18965.625</v>
      </c>
      <c r="BM195" s="69">
        <f t="shared" si="102"/>
        <v>18965.625</v>
      </c>
      <c r="BN195" s="69">
        <f t="shared" si="102"/>
        <v>18965.625</v>
      </c>
      <c r="BO195" s="69">
        <f t="shared" si="102"/>
        <v>18965.625</v>
      </c>
      <c r="BP195" s="69">
        <f t="shared" si="102"/>
        <v>18965.625</v>
      </c>
      <c r="BQ195" s="69">
        <f t="shared" si="102"/>
        <v>18965.625</v>
      </c>
      <c r="BR195" s="69">
        <f t="shared" si="102"/>
        <v>20482.875</v>
      </c>
      <c r="BS195" s="69">
        <f t="shared" si="102"/>
        <v>20482.875</v>
      </c>
      <c r="BT195" s="69">
        <f t="shared" si="102"/>
        <v>20482.875</v>
      </c>
      <c r="BU195" s="69">
        <f t="shared" si="102"/>
        <v>20482.875</v>
      </c>
      <c r="BV195" s="69">
        <f t="shared" si="102"/>
        <v>20482.875</v>
      </c>
      <c r="BW195" s="69">
        <f t="shared" si="102"/>
        <v>20482.875</v>
      </c>
      <c r="BX195" s="69">
        <f t="shared" si="102"/>
        <v>20482.875</v>
      </c>
      <c r="BY195" s="69">
        <f t="shared" si="102"/>
        <v>20482.875</v>
      </c>
      <c r="BZ195" s="69">
        <f t="shared" si="102"/>
        <v>20482.875</v>
      </c>
      <c r="CA195" s="69">
        <f t="shared" si="102"/>
        <v>20482.875</v>
      </c>
      <c r="CB195" s="69">
        <f t="shared" si="102"/>
        <v>20482.875</v>
      </c>
      <c r="CC195" s="69">
        <f t="shared" si="102"/>
        <v>20482.875</v>
      </c>
      <c r="CD195" s="70">
        <f t="shared" si="82"/>
        <v>227587.5</v>
      </c>
      <c r="CE195" s="70">
        <f t="shared" si="83"/>
        <v>245794.5</v>
      </c>
      <c r="CF195" s="2"/>
      <c r="CG195" s="69">
        <f t="shared" ref="CG195:DD195" si="103">CG189*smp_dc_pct_sl5*INDEX(ref_scn_cost,3)</f>
        <v>22907.500000000004</v>
      </c>
      <c r="CH195" s="69">
        <f t="shared" si="103"/>
        <v>22907.500000000004</v>
      </c>
      <c r="CI195" s="69">
        <f t="shared" si="103"/>
        <v>22907.500000000004</v>
      </c>
      <c r="CJ195" s="69">
        <f t="shared" si="103"/>
        <v>22907.500000000004</v>
      </c>
      <c r="CK195" s="69">
        <f t="shared" si="103"/>
        <v>22907.500000000004</v>
      </c>
      <c r="CL195" s="69">
        <f t="shared" si="103"/>
        <v>22907.500000000004</v>
      </c>
      <c r="CM195" s="69">
        <f t="shared" si="103"/>
        <v>22907.500000000004</v>
      </c>
      <c r="CN195" s="69">
        <f t="shared" si="103"/>
        <v>22907.500000000004</v>
      </c>
      <c r="CO195" s="69">
        <f t="shared" si="103"/>
        <v>22907.500000000004</v>
      </c>
      <c r="CP195" s="69">
        <f t="shared" si="103"/>
        <v>22907.500000000004</v>
      </c>
      <c r="CQ195" s="69">
        <f t="shared" si="103"/>
        <v>22907.500000000004</v>
      </c>
      <c r="CR195" s="69">
        <f t="shared" si="103"/>
        <v>22907.500000000004</v>
      </c>
      <c r="CS195" s="69">
        <f t="shared" si="103"/>
        <v>24740.100000000002</v>
      </c>
      <c r="CT195" s="69">
        <f t="shared" si="103"/>
        <v>24740.100000000002</v>
      </c>
      <c r="CU195" s="69">
        <f t="shared" si="103"/>
        <v>24740.100000000002</v>
      </c>
      <c r="CV195" s="69">
        <f t="shared" si="103"/>
        <v>24740.100000000002</v>
      </c>
      <c r="CW195" s="69">
        <f t="shared" si="103"/>
        <v>24740.100000000002</v>
      </c>
      <c r="CX195" s="69">
        <f t="shared" si="103"/>
        <v>24740.100000000002</v>
      </c>
      <c r="CY195" s="69">
        <f t="shared" si="103"/>
        <v>24740.100000000002</v>
      </c>
      <c r="CZ195" s="69">
        <f t="shared" si="103"/>
        <v>24740.100000000002</v>
      </c>
      <c r="DA195" s="69">
        <f t="shared" si="103"/>
        <v>24740.100000000002</v>
      </c>
      <c r="DB195" s="69">
        <f t="shared" si="103"/>
        <v>24740.100000000002</v>
      </c>
      <c r="DC195" s="69">
        <f t="shared" si="103"/>
        <v>24740.100000000002</v>
      </c>
      <c r="DD195" s="69">
        <f t="shared" si="103"/>
        <v>24740.100000000002</v>
      </c>
      <c r="DE195" s="70">
        <f t="shared" si="84"/>
        <v>274890.00000000006</v>
      </c>
      <c r="DF195" s="70">
        <f t="shared" si="85"/>
        <v>296881.2</v>
      </c>
      <c r="DG195"/>
      <c r="DH195"/>
    </row>
    <row r="196" spans="1:112" hidden="1" x14ac:dyDescent="0.2">
      <c r="A196" s="1"/>
      <c r="B196" s="35" t="s">
        <v>118</v>
      </c>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2"/>
      <c r="AE196" s="69">
        <f>INDEX(smp_dc_contractors,1)*INDEX(ref_scn_cost,1)</f>
        <v>15000</v>
      </c>
      <c r="AF196" s="69">
        <f>INDEX(smp_dc_contractors,2)*INDEX(ref_scn_cost,1)</f>
        <v>15000</v>
      </c>
      <c r="AG196" s="69">
        <f>INDEX(smp_dc_contractors,3)*INDEX(ref_scn_cost,1)</f>
        <v>15000</v>
      </c>
      <c r="AH196" s="69">
        <f>INDEX(smp_dc_contractors,4)*INDEX(ref_scn_cost,1)</f>
        <v>15000</v>
      </c>
      <c r="AI196" s="69">
        <f>INDEX(smp_dc_contractors,5)*INDEX(ref_scn_cost,1)</f>
        <v>15000</v>
      </c>
      <c r="AJ196" s="69">
        <f>INDEX(smp_dc_contractors,6)*INDEX(ref_scn_cost,1)</f>
        <v>15000</v>
      </c>
      <c r="AK196" s="69">
        <f>INDEX(smp_dc_contractors,7)*INDEX(ref_scn_cost,1)</f>
        <v>15000</v>
      </c>
      <c r="AL196" s="69">
        <f>INDEX(smp_dc_contractors,8)*INDEX(ref_scn_cost,1)</f>
        <v>15000</v>
      </c>
      <c r="AM196" s="69">
        <f>INDEX(smp_dc_contractors,9)*INDEX(ref_scn_cost,1)</f>
        <v>15000</v>
      </c>
      <c r="AN196" s="69">
        <f>INDEX(smp_dc_contractors,10)*INDEX(ref_scn_cost,1)</f>
        <v>15000</v>
      </c>
      <c r="AO196" s="69">
        <f>INDEX(smp_dc_contractors,11)*INDEX(ref_scn_cost,1)</f>
        <v>15000</v>
      </c>
      <c r="AP196" s="69">
        <f>INDEX(smp_dc_contractors,12)*INDEX(ref_scn_cost,1)</f>
        <v>15000</v>
      </c>
      <c r="AQ196" s="69">
        <f>INDEX(smp_dc_contractors,13)*INDEX(ref_scn_cost,1)</f>
        <v>15000</v>
      </c>
      <c r="AR196" s="69">
        <f>INDEX(smp_dc_contractors,14)*INDEX(ref_scn_cost,1)</f>
        <v>15000</v>
      </c>
      <c r="AS196" s="69">
        <f>INDEX(smp_dc_contractors,15)*INDEX(ref_scn_cost,1)</f>
        <v>15000</v>
      </c>
      <c r="AT196" s="69">
        <f>INDEX(smp_dc_contractors,16)*INDEX(ref_scn_cost,1)</f>
        <v>15000</v>
      </c>
      <c r="AU196" s="69">
        <f>INDEX(smp_dc_contractors,17)*INDEX(ref_scn_cost,1)</f>
        <v>15000</v>
      </c>
      <c r="AV196" s="69">
        <f>INDEX(smp_dc_contractors,18)*INDEX(ref_scn_cost,1)</f>
        <v>15000</v>
      </c>
      <c r="AW196" s="69">
        <f>INDEX(smp_dc_contractors,19)*INDEX(ref_scn_cost,1)</f>
        <v>15000</v>
      </c>
      <c r="AX196" s="69">
        <f>INDEX(smp_dc_contractors,20)*INDEX(ref_scn_cost,1)</f>
        <v>15000</v>
      </c>
      <c r="AY196" s="69">
        <f>INDEX(smp_dc_contractors,21)*INDEX(ref_scn_cost,1)</f>
        <v>15000</v>
      </c>
      <c r="AZ196" s="69">
        <f>INDEX(smp_dc_contractors,22)*INDEX(ref_scn_cost,1)</f>
        <v>15000</v>
      </c>
      <c r="BA196" s="69">
        <f>INDEX(smp_dc_contractors,23)*INDEX(ref_scn_cost,1)</f>
        <v>15000</v>
      </c>
      <c r="BB196" s="69">
        <f>INDEX(smp_dc_contractors,24)*INDEX(ref_scn_cost,1)</f>
        <v>15000</v>
      </c>
      <c r="BC196" s="70">
        <f t="shared" si="80"/>
        <v>180000</v>
      </c>
      <c r="BD196" s="70">
        <f t="shared" si="81"/>
        <v>180000</v>
      </c>
      <c r="BE196" s="2"/>
      <c r="BF196" s="69">
        <f>INDEX(smp_dc_contractors,1)*INDEX(ref_scn_cost,2)</f>
        <v>15750</v>
      </c>
      <c r="BG196" s="69">
        <f>INDEX(smp_dc_contractors,2)*INDEX(ref_scn_cost,2)</f>
        <v>15750</v>
      </c>
      <c r="BH196" s="69">
        <f>INDEX(smp_dc_contractors,3)*INDEX(ref_scn_cost,2)</f>
        <v>15750</v>
      </c>
      <c r="BI196" s="69">
        <f>INDEX(smp_dc_contractors,4)*INDEX(ref_scn_cost,2)</f>
        <v>15750</v>
      </c>
      <c r="BJ196" s="69">
        <f>INDEX(smp_dc_contractors,5)*INDEX(ref_scn_cost,2)</f>
        <v>15750</v>
      </c>
      <c r="BK196" s="69">
        <f>INDEX(smp_dc_contractors,6)*INDEX(ref_scn_cost,2)</f>
        <v>15750</v>
      </c>
      <c r="BL196" s="69">
        <f>INDEX(smp_dc_contractors,7)*INDEX(ref_scn_cost,2)</f>
        <v>15750</v>
      </c>
      <c r="BM196" s="69">
        <f>INDEX(smp_dc_contractors,8)*INDEX(ref_scn_cost,2)</f>
        <v>15750</v>
      </c>
      <c r="BN196" s="69">
        <f>INDEX(smp_dc_contractors,9)*INDEX(ref_scn_cost,2)</f>
        <v>15750</v>
      </c>
      <c r="BO196" s="69">
        <f>INDEX(smp_dc_contractors,10)*INDEX(ref_scn_cost,2)</f>
        <v>15750</v>
      </c>
      <c r="BP196" s="69">
        <f>INDEX(smp_dc_contractors,11)*INDEX(ref_scn_cost,2)</f>
        <v>15750</v>
      </c>
      <c r="BQ196" s="69">
        <f>INDEX(smp_dc_contractors,12)*INDEX(ref_scn_cost,2)</f>
        <v>15750</v>
      </c>
      <c r="BR196" s="69">
        <f>INDEX(smp_dc_contractors,13)*INDEX(ref_scn_cost,2)</f>
        <v>15750</v>
      </c>
      <c r="BS196" s="69">
        <f>INDEX(smp_dc_contractors,14)*INDEX(ref_scn_cost,2)</f>
        <v>15750</v>
      </c>
      <c r="BT196" s="69">
        <f>INDEX(smp_dc_contractors,15)*INDEX(ref_scn_cost,2)</f>
        <v>15750</v>
      </c>
      <c r="BU196" s="69">
        <f>INDEX(smp_dc_contractors,16)*INDEX(ref_scn_cost,2)</f>
        <v>15750</v>
      </c>
      <c r="BV196" s="69">
        <f>INDEX(smp_dc_contractors,17)*INDEX(ref_scn_cost,2)</f>
        <v>15750</v>
      </c>
      <c r="BW196" s="69">
        <f>INDEX(smp_dc_contractors,18)*INDEX(ref_scn_cost,2)</f>
        <v>15750</v>
      </c>
      <c r="BX196" s="69">
        <f>INDEX(smp_dc_contractors,19)*INDEX(ref_scn_cost,2)</f>
        <v>15750</v>
      </c>
      <c r="BY196" s="69">
        <f>INDEX(smp_dc_contractors,20)*INDEX(ref_scn_cost,2)</f>
        <v>15750</v>
      </c>
      <c r="BZ196" s="69">
        <f>INDEX(smp_dc_contractors,21)*INDEX(ref_scn_cost,2)</f>
        <v>15750</v>
      </c>
      <c r="CA196" s="69">
        <f>INDEX(smp_dc_contractors,22)*INDEX(ref_scn_cost,2)</f>
        <v>15750</v>
      </c>
      <c r="CB196" s="69">
        <f>INDEX(smp_dc_contractors,23)*INDEX(ref_scn_cost,2)</f>
        <v>15750</v>
      </c>
      <c r="CC196" s="69">
        <f>INDEX(smp_dc_contractors,24)*INDEX(ref_scn_cost,2)</f>
        <v>15750</v>
      </c>
      <c r="CD196" s="70">
        <f t="shared" si="82"/>
        <v>189000</v>
      </c>
      <c r="CE196" s="70">
        <f t="shared" si="83"/>
        <v>189000</v>
      </c>
      <c r="CF196" s="2"/>
      <c r="CG196" s="69">
        <f>INDEX(smp_dc_contractors,1)*INDEX(ref_scn_cost,3)</f>
        <v>14700</v>
      </c>
      <c r="CH196" s="69">
        <f>INDEX(smp_dc_contractors,2)*INDEX(ref_scn_cost,3)</f>
        <v>14700</v>
      </c>
      <c r="CI196" s="69">
        <f>INDEX(smp_dc_contractors,3)*INDEX(ref_scn_cost,3)</f>
        <v>14700</v>
      </c>
      <c r="CJ196" s="69">
        <f>INDEX(smp_dc_contractors,4)*INDEX(ref_scn_cost,3)</f>
        <v>14700</v>
      </c>
      <c r="CK196" s="69">
        <f>INDEX(smp_dc_contractors,5)*INDEX(ref_scn_cost,3)</f>
        <v>14700</v>
      </c>
      <c r="CL196" s="69">
        <f>INDEX(smp_dc_contractors,6)*INDEX(ref_scn_cost,3)</f>
        <v>14700</v>
      </c>
      <c r="CM196" s="69">
        <f>INDEX(smp_dc_contractors,7)*INDEX(ref_scn_cost,3)</f>
        <v>14700</v>
      </c>
      <c r="CN196" s="69">
        <f>INDEX(smp_dc_contractors,8)*INDEX(ref_scn_cost,3)</f>
        <v>14700</v>
      </c>
      <c r="CO196" s="69">
        <f>INDEX(smp_dc_contractors,9)*INDEX(ref_scn_cost,3)</f>
        <v>14700</v>
      </c>
      <c r="CP196" s="69">
        <f>INDEX(smp_dc_contractors,10)*INDEX(ref_scn_cost,3)</f>
        <v>14700</v>
      </c>
      <c r="CQ196" s="69">
        <f>INDEX(smp_dc_contractors,11)*INDEX(ref_scn_cost,3)</f>
        <v>14700</v>
      </c>
      <c r="CR196" s="69">
        <f>INDEX(smp_dc_contractors,12)*INDEX(ref_scn_cost,3)</f>
        <v>14700</v>
      </c>
      <c r="CS196" s="69">
        <f>INDEX(smp_dc_contractors,13)*INDEX(ref_scn_cost,3)</f>
        <v>14700</v>
      </c>
      <c r="CT196" s="69">
        <f>INDEX(smp_dc_contractors,14)*INDEX(ref_scn_cost,3)</f>
        <v>14700</v>
      </c>
      <c r="CU196" s="69">
        <f>INDEX(smp_dc_contractors,15)*INDEX(ref_scn_cost,3)</f>
        <v>14700</v>
      </c>
      <c r="CV196" s="69">
        <f>INDEX(smp_dc_contractors,16)*INDEX(ref_scn_cost,3)</f>
        <v>14700</v>
      </c>
      <c r="CW196" s="69">
        <f>INDEX(smp_dc_contractors,17)*INDEX(ref_scn_cost,3)</f>
        <v>14700</v>
      </c>
      <c r="CX196" s="69">
        <f>INDEX(smp_dc_contractors,18)*INDEX(ref_scn_cost,3)</f>
        <v>14700</v>
      </c>
      <c r="CY196" s="69">
        <f>INDEX(smp_dc_contractors,19)*INDEX(ref_scn_cost,3)</f>
        <v>14700</v>
      </c>
      <c r="CZ196" s="69">
        <f>INDEX(smp_dc_contractors,20)*INDEX(ref_scn_cost,3)</f>
        <v>14700</v>
      </c>
      <c r="DA196" s="69">
        <f>INDEX(smp_dc_contractors,21)*INDEX(ref_scn_cost,3)</f>
        <v>14700</v>
      </c>
      <c r="DB196" s="69">
        <f>INDEX(smp_dc_contractors,22)*INDEX(ref_scn_cost,3)</f>
        <v>14700</v>
      </c>
      <c r="DC196" s="69">
        <f>INDEX(smp_dc_contractors,23)*INDEX(ref_scn_cost,3)</f>
        <v>14700</v>
      </c>
      <c r="DD196" s="69">
        <f>INDEX(smp_dc_contractors,24)*INDEX(ref_scn_cost,3)</f>
        <v>14700</v>
      </c>
      <c r="DE196" s="70">
        <f t="shared" si="84"/>
        <v>176400</v>
      </c>
      <c r="DF196" s="70">
        <f t="shared" si="85"/>
        <v>176400</v>
      </c>
      <c r="DG196"/>
      <c r="DH196"/>
    </row>
    <row r="197" spans="1:112" hidden="1" x14ac:dyDescent="0.2">
      <c r="A197" s="1"/>
      <c r="B197" s="35" t="s">
        <v>119</v>
      </c>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2"/>
      <c r="AE197" s="69">
        <f>INDEX(smp_dc_tools,1)*INDEX(ref_scn_cost,1)</f>
        <v>4000</v>
      </c>
      <c r="AF197" s="69">
        <f>INDEX(smp_dc_tools,2)*INDEX(ref_scn_cost,1)</f>
        <v>4000</v>
      </c>
      <c r="AG197" s="69">
        <f>INDEX(smp_dc_tools,3)*INDEX(ref_scn_cost,1)</f>
        <v>4000</v>
      </c>
      <c r="AH197" s="69">
        <f>INDEX(smp_dc_tools,4)*INDEX(ref_scn_cost,1)</f>
        <v>4000</v>
      </c>
      <c r="AI197" s="69">
        <f>INDEX(smp_dc_tools,5)*INDEX(ref_scn_cost,1)</f>
        <v>4000</v>
      </c>
      <c r="AJ197" s="69">
        <f>INDEX(smp_dc_tools,6)*INDEX(ref_scn_cost,1)</f>
        <v>4000</v>
      </c>
      <c r="AK197" s="69">
        <f>INDEX(smp_dc_tools,7)*INDEX(ref_scn_cost,1)</f>
        <v>4000</v>
      </c>
      <c r="AL197" s="69">
        <f>INDEX(smp_dc_tools,8)*INDEX(ref_scn_cost,1)</f>
        <v>4000</v>
      </c>
      <c r="AM197" s="69">
        <f>INDEX(smp_dc_tools,9)*INDEX(ref_scn_cost,1)</f>
        <v>4000</v>
      </c>
      <c r="AN197" s="69">
        <f>INDEX(smp_dc_tools,10)*INDEX(ref_scn_cost,1)</f>
        <v>4000</v>
      </c>
      <c r="AO197" s="69">
        <f>INDEX(smp_dc_tools,11)*INDEX(ref_scn_cost,1)</f>
        <v>4000</v>
      </c>
      <c r="AP197" s="69">
        <f>INDEX(smp_dc_tools,12)*INDEX(ref_scn_cost,1)</f>
        <v>4000</v>
      </c>
      <c r="AQ197" s="69">
        <f>INDEX(smp_dc_tools,13)*INDEX(ref_scn_cost,1)</f>
        <v>4000</v>
      </c>
      <c r="AR197" s="69">
        <f>INDEX(smp_dc_tools,14)*INDEX(ref_scn_cost,1)</f>
        <v>4000</v>
      </c>
      <c r="AS197" s="69">
        <f>INDEX(smp_dc_tools,15)*INDEX(ref_scn_cost,1)</f>
        <v>4000</v>
      </c>
      <c r="AT197" s="69">
        <f>INDEX(smp_dc_tools,16)*INDEX(ref_scn_cost,1)</f>
        <v>4000</v>
      </c>
      <c r="AU197" s="69">
        <f>INDEX(smp_dc_tools,17)*INDEX(ref_scn_cost,1)</f>
        <v>4000</v>
      </c>
      <c r="AV197" s="69">
        <f>INDEX(smp_dc_tools,18)*INDEX(ref_scn_cost,1)</f>
        <v>4000</v>
      </c>
      <c r="AW197" s="69">
        <f>INDEX(smp_dc_tools,19)*INDEX(ref_scn_cost,1)</f>
        <v>4000</v>
      </c>
      <c r="AX197" s="69">
        <f>INDEX(smp_dc_tools,20)*INDEX(ref_scn_cost,1)</f>
        <v>4000</v>
      </c>
      <c r="AY197" s="69">
        <f>INDEX(smp_dc_tools,21)*INDEX(ref_scn_cost,1)</f>
        <v>4000</v>
      </c>
      <c r="AZ197" s="69">
        <f>INDEX(smp_dc_tools,22)*INDEX(ref_scn_cost,1)</f>
        <v>4000</v>
      </c>
      <c r="BA197" s="69">
        <f>INDEX(smp_dc_tools,23)*INDEX(ref_scn_cost,1)</f>
        <v>4000</v>
      </c>
      <c r="BB197" s="69">
        <f>INDEX(smp_dc_tools,24)*INDEX(ref_scn_cost,1)</f>
        <v>4000</v>
      </c>
      <c r="BC197" s="70">
        <f t="shared" si="80"/>
        <v>48000</v>
      </c>
      <c r="BD197" s="70">
        <f t="shared" si="81"/>
        <v>48000</v>
      </c>
      <c r="BE197" s="2"/>
      <c r="BF197" s="69">
        <f>INDEX(smp_dc_tools,1)*INDEX(ref_scn_cost,2)</f>
        <v>4200</v>
      </c>
      <c r="BG197" s="69">
        <f>INDEX(smp_dc_tools,2)*INDEX(ref_scn_cost,2)</f>
        <v>4200</v>
      </c>
      <c r="BH197" s="69">
        <f>INDEX(smp_dc_tools,3)*INDEX(ref_scn_cost,2)</f>
        <v>4200</v>
      </c>
      <c r="BI197" s="69">
        <f>INDEX(smp_dc_tools,4)*INDEX(ref_scn_cost,2)</f>
        <v>4200</v>
      </c>
      <c r="BJ197" s="69">
        <f>INDEX(smp_dc_tools,5)*INDEX(ref_scn_cost,2)</f>
        <v>4200</v>
      </c>
      <c r="BK197" s="69">
        <f>INDEX(smp_dc_tools,6)*INDEX(ref_scn_cost,2)</f>
        <v>4200</v>
      </c>
      <c r="BL197" s="69">
        <f>INDEX(smp_dc_tools,7)*INDEX(ref_scn_cost,2)</f>
        <v>4200</v>
      </c>
      <c r="BM197" s="69">
        <f>INDEX(smp_dc_tools,8)*INDEX(ref_scn_cost,2)</f>
        <v>4200</v>
      </c>
      <c r="BN197" s="69">
        <f>INDEX(smp_dc_tools,9)*INDEX(ref_scn_cost,2)</f>
        <v>4200</v>
      </c>
      <c r="BO197" s="69">
        <f>INDEX(smp_dc_tools,10)*INDEX(ref_scn_cost,2)</f>
        <v>4200</v>
      </c>
      <c r="BP197" s="69">
        <f>INDEX(smp_dc_tools,11)*INDEX(ref_scn_cost,2)</f>
        <v>4200</v>
      </c>
      <c r="BQ197" s="69">
        <f>INDEX(smp_dc_tools,12)*INDEX(ref_scn_cost,2)</f>
        <v>4200</v>
      </c>
      <c r="BR197" s="69">
        <f>INDEX(smp_dc_tools,13)*INDEX(ref_scn_cost,2)</f>
        <v>4200</v>
      </c>
      <c r="BS197" s="69">
        <f>INDEX(smp_dc_tools,14)*INDEX(ref_scn_cost,2)</f>
        <v>4200</v>
      </c>
      <c r="BT197" s="69">
        <f>INDEX(smp_dc_tools,15)*INDEX(ref_scn_cost,2)</f>
        <v>4200</v>
      </c>
      <c r="BU197" s="69">
        <f>INDEX(smp_dc_tools,16)*INDEX(ref_scn_cost,2)</f>
        <v>4200</v>
      </c>
      <c r="BV197" s="69">
        <f>INDEX(smp_dc_tools,17)*INDEX(ref_scn_cost,2)</f>
        <v>4200</v>
      </c>
      <c r="BW197" s="69">
        <f>INDEX(smp_dc_tools,18)*INDEX(ref_scn_cost,2)</f>
        <v>4200</v>
      </c>
      <c r="BX197" s="69">
        <f>INDEX(smp_dc_tools,19)*INDEX(ref_scn_cost,2)</f>
        <v>4200</v>
      </c>
      <c r="BY197" s="69">
        <f>INDEX(smp_dc_tools,20)*INDEX(ref_scn_cost,2)</f>
        <v>4200</v>
      </c>
      <c r="BZ197" s="69">
        <f>INDEX(smp_dc_tools,21)*INDEX(ref_scn_cost,2)</f>
        <v>4200</v>
      </c>
      <c r="CA197" s="69">
        <f>INDEX(smp_dc_tools,22)*INDEX(ref_scn_cost,2)</f>
        <v>4200</v>
      </c>
      <c r="CB197" s="69">
        <f>INDEX(smp_dc_tools,23)*INDEX(ref_scn_cost,2)</f>
        <v>4200</v>
      </c>
      <c r="CC197" s="69">
        <f>INDEX(smp_dc_tools,24)*INDEX(ref_scn_cost,2)</f>
        <v>4200</v>
      </c>
      <c r="CD197" s="70">
        <f t="shared" si="82"/>
        <v>50400</v>
      </c>
      <c r="CE197" s="70">
        <f t="shared" si="83"/>
        <v>50400</v>
      </c>
      <c r="CF197" s="2"/>
      <c r="CG197" s="69">
        <f>INDEX(smp_dc_tools,1)*INDEX(ref_scn_cost,3)</f>
        <v>3920</v>
      </c>
      <c r="CH197" s="69">
        <f>INDEX(smp_dc_tools,2)*INDEX(ref_scn_cost,3)</f>
        <v>3920</v>
      </c>
      <c r="CI197" s="69">
        <f>INDEX(smp_dc_tools,3)*INDEX(ref_scn_cost,3)</f>
        <v>3920</v>
      </c>
      <c r="CJ197" s="69">
        <f>INDEX(smp_dc_tools,4)*INDEX(ref_scn_cost,3)</f>
        <v>3920</v>
      </c>
      <c r="CK197" s="69">
        <f>INDEX(smp_dc_tools,5)*INDEX(ref_scn_cost,3)</f>
        <v>3920</v>
      </c>
      <c r="CL197" s="69">
        <f>INDEX(smp_dc_tools,6)*INDEX(ref_scn_cost,3)</f>
        <v>3920</v>
      </c>
      <c r="CM197" s="69">
        <f>INDEX(smp_dc_tools,7)*INDEX(ref_scn_cost,3)</f>
        <v>3920</v>
      </c>
      <c r="CN197" s="69">
        <f>INDEX(smp_dc_tools,8)*INDEX(ref_scn_cost,3)</f>
        <v>3920</v>
      </c>
      <c r="CO197" s="69">
        <f>INDEX(smp_dc_tools,9)*INDEX(ref_scn_cost,3)</f>
        <v>3920</v>
      </c>
      <c r="CP197" s="69">
        <f>INDEX(smp_dc_tools,10)*INDEX(ref_scn_cost,3)</f>
        <v>3920</v>
      </c>
      <c r="CQ197" s="69">
        <f>INDEX(smp_dc_tools,11)*INDEX(ref_scn_cost,3)</f>
        <v>3920</v>
      </c>
      <c r="CR197" s="69">
        <f>INDEX(smp_dc_tools,12)*INDEX(ref_scn_cost,3)</f>
        <v>3920</v>
      </c>
      <c r="CS197" s="69">
        <f>INDEX(smp_dc_tools,13)*INDEX(ref_scn_cost,3)</f>
        <v>3920</v>
      </c>
      <c r="CT197" s="69">
        <f>INDEX(smp_dc_tools,14)*INDEX(ref_scn_cost,3)</f>
        <v>3920</v>
      </c>
      <c r="CU197" s="69">
        <f>INDEX(smp_dc_tools,15)*INDEX(ref_scn_cost,3)</f>
        <v>3920</v>
      </c>
      <c r="CV197" s="69">
        <f>INDEX(smp_dc_tools,16)*INDEX(ref_scn_cost,3)</f>
        <v>3920</v>
      </c>
      <c r="CW197" s="69">
        <f>INDEX(smp_dc_tools,17)*INDEX(ref_scn_cost,3)</f>
        <v>3920</v>
      </c>
      <c r="CX197" s="69">
        <f>INDEX(smp_dc_tools,18)*INDEX(ref_scn_cost,3)</f>
        <v>3920</v>
      </c>
      <c r="CY197" s="69">
        <f>INDEX(smp_dc_tools,19)*INDEX(ref_scn_cost,3)</f>
        <v>3920</v>
      </c>
      <c r="CZ197" s="69">
        <f>INDEX(smp_dc_tools,20)*INDEX(ref_scn_cost,3)</f>
        <v>3920</v>
      </c>
      <c r="DA197" s="69">
        <f>INDEX(smp_dc_tools,21)*INDEX(ref_scn_cost,3)</f>
        <v>3920</v>
      </c>
      <c r="DB197" s="69">
        <f>INDEX(smp_dc_tools,22)*INDEX(ref_scn_cost,3)</f>
        <v>3920</v>
      </c>
      <c r="DC197" s="69">
        <f>INDEX(smp_dc_tools,23)*INDEX(ref_scn_cost,3)</f>
        <v>3920</v>
      </c>
      <c r="DD197" s="69">
        <f>INDEX(smp_dc_tools,24)*INDEX(ref_scn_cost,3)</f>
        <v>3920</v>
      </c>
      <c r="DE197" s="70">
        <f t="shared" si="84"/>
        <v>47040</v>
      </c>
      <c r="DF197" s="70">
        <f t="shared" si="85"/>
        <v>47040</v>
      </c>
      <c r="DG197"/>
      <c r="DH197"/>
    </row>
    <row r="198" spans="1:112" hidden="1" x14ac:dyDescent="0.2">
      <c r="A198" s="1"/>
      <c r="B198" s="35" t="s">
        <v>120</v>
      </c>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2"/>
      <c r="AE198" s="69">
        <f>INDEX(smp_dc_passthrough,1)*INDEX(ref_scn_cost,1)</f>
        <v>12000</v>
      </c>
      <c r="AF198" s="69">
        <f>INDEX(smp_dc_passthrough,2)*INDEX(ref_scn_cost,1)</f>
        <v>12000</v>
      </c>
      <c r="AG198" s="69">
        <f>INDEX(smp_dc_passthrough,3)*INDEX(ref_scn_cost,1)</f>
        <v>12000</v>
      </c>
      <c r="AH198" s="69">
        <f>INDEX(smp_dc_passthrough,4)*INDEX(ref_scn_cost,1)</f>
        <v>12000</v>
      </c>
      <c r="AI198" s="69">
        <f>INDEX(smp_dc_passthrough,5)*INDEX(ref_scn_cost,1)</f>
        <v>12000</v>
      </c>
      <c r="AJ198" s="69">
        <f>INDEX(smp_dc_passthrough,6)*INDEX(ref_scn_cost,1)</f>
        <v>12000</v>
      </c>
      <c r="AK198" s="69">
        <f>INDEX(smp_dc_passthrough,7)*INDEX(ref_scn_cost,1)</f>
        <v>12000</v>
      </c>
      <c r="AL198" s="69">
        <f>INDEX(smp_dc_passthrough,8)*INDEX(ref_scn_cost,1)</f>
        <v>12000</v>
      </c>
      <c r="AM198" s="69">
        <f>INDEX(smp_dc_passthrough,9)*INDEX(ref_scn_cost,1)</f>
        <v>12000</v>
      </c>
      <c r="AN198" s="69">
        <f>INDEX(smp_dc_passthrough,10)*INDEX(ref_scn_cost,1)</f>
        <v>12000</v>
      </c>
      <c r="AO198" s="69">
        <f>INDEX(smp_dc_passthrough,11)*INDEX(ref_scn_cost,1)</f>
        <v>12000</v>
      </c>
      <c r="AP198" s="69">
        <f>INDEX(smp_dc_passthrough,12)*INDEX(ref_scn_cost,1)</f>
        <v>12000</v>
      </c>
      <c r="AQ198" s="69">
        <f>INDEX(smp_dc_passthrough,13)*INDEX(ref_scn_cost,1)</f>
        <v>12000</v>
      </c>
      <c r="AR198" s="69">
        <f>INDEX(smp_dc_passthrough,14)*INDEX(ref_scn_cost,1)</f>
        <v>12000</v>
      </c>
      <c r="AS198" s="69">
        <f>INDEX(smp_dc_passthrough,15)*INDEX(ref_scn_cost,1)</f>
        <v>12000</v>
      </c>
      <c r="AT198" s="69">
        <f>INDEX(smp_dc_passthrough,16)*INDEX(ref_scn_cost,1)</f>
        <v>12000</v>
      </c>
      <c r="AU198" s="69">
        <f>INDEX(smp_dc_passthrough,17)*INDEX(ref_scn_cost,1)</f>
        <v>12000</v>
      </c>
      <c r="AV198" s="69">
        <f>INDEX(smp_dc_passthrough,18)*INDEX(ref_scn_cost,1)</f>
        <v>12000</v>
      </c>
      <c r="AW198" s="69">
        <f>INDEX(smp_dc_passthrough,19)*INDEX(ref_scn_cost,1)</f>
        <v>12000</v>
      </c>
      <c r="AX198" s="69">
        <f>INDEX(smp_dc_passthrough,20)*INDEX(ref_scn_cost,1)</f>
        <v>12000</v>
      </c>
      <c r="AY198" s="69">
        <f>INDEX(smp_dc_passthrough,21)*INDEX(ref_scn_cost,1)</f>
        <v>12000</v>
      </c>
      <c r="AZ198" s="69">
        <f>INDEX(smp_dc_passthrough,22)*INDEX(ref_scn_cost,1)</f>
        <v>12000</v>
      </c>
      <c r="BA198" s="69">
        <f>INDEX(smp_dc_passthrough,23)*INDEX(ref_scn_cost,1)</f>
        <v>12000</v>
      </c>
      <c r="BB198" s="69">
        <f>INDEX(smp_dc_passthrough,24)*INDEX(ref_scn_cost,1)</f>
        <v>12000</v>
      </c>
      <c r="BC198" s="70">
        <f t="shared" si="80"/>
        <v>144000</v>
      </c>
      <c r="BD198" s="70">
        <f t="shared" si="81"/>
        <v>144000</v>
      </c>
      <c r="BE198" s="2"/>
      <c r="BF198" s="69">
        <f>INDEX(smp_dc_passthrough,1)*INDEX(ref_scn_cost,2)</f>
        <v>12600</v>
      </c>
      <c r="BG198" s="69">
        <f>INDEX(smp_dc_passthrough,2)*INDEX(ref_scn_cost,2)</f>
        <v>12600</v>
      </c>
      <c r="BH198" s="69">
        <f>INDEX(smp_dc_passthrough,3)*INDEX(ref_scn_cost,2)</f>
        <v>12600</v>
      </c>
      <c r="BI198" s="69">
        <f>INDEX(smp_dc_passthrough,4)*INDEX(ref_scn_cost,2)</f>
        <v>12600</v>
      </c>
      <c r="BJ198" s="69">
        <f>INDEX(smp_dc_passthrough,5)*INDEX(ref_scn_cost,2)</f>
        <v>12600</v>
      </c>
      <c r="BK198" s="69">
        <f>INDEX(smp_dc_passthrough,6)*INDEX(ref_scn_cost,2)</f>
        <v>12600</v>
      </c>
      <c r="BL198" s="69">
        <f>INDEX(smp_dc_passthrough,7)*INDEX(ref_scn_cost,2)</f>
        <v>12600</v>
      </c>
      <c r="BM198" s="69">
        <f>INDEX(smp_dc_passthrough,8)*INDEX(ref_scn_cost,2)</f>
        <v>12600</v>
      </c>
      <c r="BN198" s="69">
        <f>INDEX(smp_dc_passthrough,9)*INDEX(ref_scn_cost,2)</f>
        <v>12600</v>
      </c>
      <c r="BO198" s="69">
        <f>INDEX(smp_dc_passthrough,10)*INDEX(ref_scn_cost,2)</f>
        <v>12600</v>
      </c>
      <c r="BP198" s="69">
        <f>INDEX(smp_dc_passthrough,11)*INDEX(ref_scn_cost,2)</f>
        <v>12600</v>
      </c>
      <c r="BQ198" s="69">
        <f>INDEX(smp_dc_passthrough,12)*INDEX(ref_scn_cost,2)</f>
        <v>12600</v>
      </c>
      <c r="BR198" s="69">
        <f>INDEX(smp_dc_passthrough,13)*INDEX(ref_scn_cost,2)</f>
        <v>12600</v>
      </c>
      <c r="BS198" s="69">
        <f>INDEX(smp_dc_passthrough,14)*INDEX(ref_scn_cost,2)</f>
        <v>12600</v>
      </c>
      <c r="BT198" s="69">
        <f>INDEX(smp_dc_passthrough,15)*INDEX(ref_scn_cost,2)</f>
        <v>12600</v>
      </c>
      <c r="BU198" s="69">
        <f>INDEX(smp_dc_passthrough,16)*INDEX(ref_scn_cost,2)</f>
        <v>12600</v>
      </c>
      <c r="BV198" s="69">
        <f>INDEX(smp_dc_passthrough,17)*INDEX(ref_scn_cost,2)</f>
        <v>12600</v>
      </c>
      <c r="BW198" s="69">
        <f>INDEX(smp_dc_passthrough,18)*INDEX(ref_scn_cost,2)</f>
        <v>12600</v>
      </c>
      <c r="BX198" s="69">
        <f>INDEX(smp_dc_passthrough,19)*INDEX(ref_scn_cost,2)</f>
        <v>12600</v>
      </c>
      <c r="BY198" s="69">
        <f>INDEX(smp_dc_passthrough,20)*INDEX(ref_scn_cost,2)</f>
        <v>12600</v>
      </c>
      <c r="BZ198" s="69">
        <f>INDEX(smp_dc_passthrough,21)*INDEX(ref_scn_cost,2)</f>
        <v>12600</v>
      </c>
      <c r="CA198" s="69">
        <f>INDEX(smp_dc_passthrough,22)*INDEX(ref_scn_cost,2)</f>
        <v>12600</v>
      </c>
      <c r="CB198" s="69">
        <f>INDEX(smp_dc_passthrough,23)*INDEX(ref_scn_cost,2)</f>
        <v>12600</v>
      </c>
      <c r="CC198" s="69">
        <f>INDEX(smp_dc_passthrough,24)*INDEX(ref_scn_cost,2)</f>
        <v>12600</v>
      </c>
      <c r="CD198" s="70">
        <f t="shared" si="82"/>
        <v>151200</v>
      </c>
      <c r="CE198" s="70">
        <f t="shared" si="83"/>
        <v>151200</v>
      </c>
      <c r="CF198" s="2"/>
      <c r="CG198" s="69">
        <f>INDEX(smp_dc_passthrough,1)*INDEX(ref_scn_cost,3)</f>
        <v>11760</v>
      </c>
      <c r="CH198" s="69">
        <f>INDEX(smp_dc_passthrough,2)*INDEX(ref_scn_cost,3)</f>
        <v>11760</v>
      </c>
      <c r="CI198" s="69">
        <f>INDEX(smp_dc_passthrough,3)*INDEX(ref_scn_cost,3)</f>
        <v>11760</v>
      </c>
      <c r="CJ198" s="69">
        <f>INDEX(smp_dc_passthrough,4)*INDEX(ref_scn_cost,3)</f>
        <v>11760</v>
      </c>
      <c r="CK198" s="69">
        <f>INDEX(smp_dc_passthrough,5)*INDEX(ref_scn_cost,3)</f>
        <v>11760</v>
      </c>
      <c r="CL198" s="69">
        <f>INDEX(smp_dc_passthrough,6)*INDEX(ref_scn_cost,3)</f>
        <v>11760</v>
      </c>
      <c r="CM198" s="69">
        <f>INDEX(smp_dc_passthrough,7)*INDEX(ref_scn_cost,3)</f>
        <v>11760</v>
      </c>
      <c r="CN198" s="69">
        <f>INDEX(smp_dc_passthrough,8)*INDEX(ref_scn_cost,3)</f>
        <v>11760</v>
      </c>
      <c r="CO198" s="69">
        <f>INDEX(smp_dc_passthrough,9)*INDEX(ref_scn_cost,3)</f>
        <v>11760</v>
      </c>
      <c r="CP198" s="69">
        <f>INDEX(smp_dc_passthrough,10)*INDEX(ref_scn_cost,3)</f>
        <v>11760</v>
      </c>
      <c r="CQ198" s="69">
        <f>INDEX(smp_dc_passthrough,11)*INDEX(ref_scn_cost,3)</f>
        <v>11760</v>
      </c>
      <c r="CR198" s="69">
        <f>INDEX(smp_dc_passthrough,12)*INDEX(ref_scn_cost,3)</f>
        <v>11760</v>
      </c>
      <c r="CS198" s="69">
        <f>INDEX(smp_dc_passthrough,13)*INDEX(ref_scn_cost,3)</f>
        <v>11760</v>
      </c>
      <c r="CT198" s="69">
        <f>INDEX(smp_dc_passthrough,14)*INDEX(ref_scn_cost,3)</f>
        <v>11760</v>
      </c>
      <c r="CU198" s="69">
        <f>INDEX(smp_dc_passthrough,15)*INDEX(ref_scn_cost,3)</f>
        <v>11760</v>
      </c>
      <c r="CV198" s="69">
        <f>INDEX(smp_dc_passthrough,16)*INDEX(ref_scn_cost,3)</f>
        <v>11760</v>
      </c>
      <c r="CW198" s="69">
        <f>INDEX(smp_dc_passthrough,17)*INDEX(ref_scn_cost,3)</f>
        <v>11760</v>
      </c>
      <c r="CX198" s="69">
        <f>INDEX(smp_dc_passthrough,18)*INDEX(ref_scn_cost,3)</f>
        <v>11760</v>
      </c>
      <c r="CY198" s="69">
        <f>INDEX(smp_dc_passthrough,19)*INDEX(ref_scn_cost,3)</f>
        <v>11760</v>
      </c>
      <c r="CZ198" s="69">
        <f>INDEX(smp_dc_passthrough,20)*INDEX(ref_scn_cost,3)</f>
        <v>11760</v>
      </c>
      <c r="DA198" s="69">
        <f>INDEX(smp_dc_passthrough,21)*INDEX(ref_scn_cost,3)</f>
        <v>11760</v>
      </c>
      <c r="DB198" s="69">
        <f>INDEX(smp_dc_passthrough,22)*INDEX(ref_scn_cost,3)</f>
        <v>11760</v>
      </c>
      <c r="DC198" s="69">
        <f>INDEX(smp_dc_passthrough,23)*INDEX(ref_scn_cost,3)</f>
        <v>11760</v>
      </c>
      <c r="DD198" s="69">
        <f>INDEX(smp_dc_passthrough,24)*INDEX(ref_scn_cost,3)</f>
        <v>11760</v>
      </c>
      <c r="DE198" s="70">
        <f t="shared" si="84"/>
        <v>141120</v>
      </c>
      <c r="DF198" s="70">
        <f t="shared" si="85"/>
        <v>141120</v>
      </c>
      <c r="DG198"/>
      <c r="DH198"/>
    </row>
    <row r="199" spans="1:112" hidden="1" x14ac:dyDescent="0.2">
      <c r="A199" s="1"/>
      <c r="B199" s="35" t="s">
        <v>121</v>
      </c>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2"/>
      <c r="AE199" s="69">
        <f>INDEX(smp_dc_other,1)*INDEX(ref_scn_cost,1)</f>
        <v>2500</v>
      </c>
      <c r="AF199" s="69">
        <f>INDEX(smp_dc_other,2)*INDEX(ref_scn_cost,1)</f>
        <v>2500</v>
      </c>
      <c r="AG199" s="69">
        <f>INDEX(smp_dc_other,3)*INDEX(ref_scn_cost,1)</f>
        <v>2500</v>
      </c>
      <c r="AH199" s="69">
        <f>INDEX(smp_dc_other,4)*INDEX(ref_scn_cost,1)</f>
        <v>2500</v>
      </c>
      <c r="AI199" s="69">
        <f>INDEX(smp_dc_other,5)*INDEX(ref_scn_cost,1)</f>
        <v>2500</v>
      </c>
      <c r="AJ199" s="69">
        <f>INDEX(smp_dc_other,6)*INDEX(ref_scn_cost,1)</f>
        <v>2500</v>
      </c>
      <c r="AK199" s="69">
        <f>INDEX(smp_dc_other,7)*INDEX(ref_scn_cost,1)</f>
        <v>2500</v>
      </c>
      <c r="AL199" s="69">
        <f>INDEX(smp_dc_other,8)*INDEX(ref_scn_cost,1)</f>
        <v>2500</v>
      </c>
      <c r="AM199" s="69">
        <f>INDEX(smp_dc_other,9)*INDEX(ref_scn_cost,1)</f>
        <v>2500</v>
      </c>
      <c r="AN199" s="69">
        <f>INDEX(smp_dc_other,10)*INDEX(ref_scn_cost,1)</f>
        <v>2500</v>
      </c>
      <c r="AO199" s="69">
        <f>INDEX(smp_dc_other,11)*INDEX(ref_scn_cost,1)</f>
        <v>2500</v>
      </c>
      <c r="AP199" s="69">
        <f>INDEX(smp_dc_other,12)*INDEX(ref_scn_cost,1)</f>
        <v>2500</v>
      </c>
      <c r="AQ199" s="69">
        <f>INDEX(smp_dc_other,13)*INDEX(ref_scn_cost,1)</f>
        <v>2500</v>
      </c>
      <c r="AR199" s="69">
        <f>INDEX(smp_dc_other,14)*INDEX(ref_scn_cost,1)</f>
        <v>2500</v>
      </c>
      <c r="AS199" s="69">
        <f>INDEX(smp_dc_other,15)*INDEX(ref_scn_cost,1)</f>
        <v>2500</v>
      </c>
      <c r="AT199" s="69">
        <f>INDEX(smp_dc_other,16)*INDEX(ref_scn_cost,1)</f>
        <v>2500</v>
      </c>
      <c r="AU199" s="69">
        <f>INDEX(smp_dc_other,17)*INDEX(ref_scn_cost,1)</f>
        <v>2500</v>
      </c>
      <c r="AV199" s="69">
        <f>INDEX(smp_dc_other,18)*INDEX(ref_scn_cost,1)</f>
        <v>2500</v>
      </c>
      <c r="AW199" s="69">
        <f>INDEX(smp_dc_other,19)*INDEX(ref_scn_cost,1)</f>
        <v>2500</v>
      </c>
      <c r="AX199" s="69">
        <f>INDEX(smp_dc_other,20)*INDEX(ref_scn_cost,1)</f>
        <v>2500</v>
      </c>
      <c r="AY199" s="69">
        <f>INDEX(smp_dc_other,21)*INDEX(ref_scn_cost,1)</f>
        <v>2500</v>
      </c>
      <c r="AZ199" s="69">
        <f>INDEX(smp_dc_other,22)*INDEX(ref_scn_cost,1)</f>
        <v>2500</v>
      </c>
      <c r="BA199" s="69">
        <f>INDEX(smp_dc_other,23)*INDEX(ref_scn_cost,1)</f>
        <v>2500</v>
      </c>
      <c r="BB199" s="69">
        <f>INDEX(smp_dc_other,24)*INDEX(ref_scn_cost,1)</f>
        <v>2500</v>
      </c>
      <c r="BC199" s="70">
        <f t="shared" si="80"/>
        <v>30000</v>
      </c>
      <c r="BD199" s="70">
        <f t="shared" si="81"/>
        <v>30000</v>
      </c>
      <c r="BE199" s="2"/>
      <c r="BF199" s="69">
        <f>INDEX(smp_dc_other,1)*INDEX(ref_scn_cost,2)</f>
        <v>2625</v>
      </c>
      <c r="BG199" s="69">
        <f>INDEX(smp_dc_other,2)*INDEX(ref_scn_cost,2)</f>
        <v>2625</v>
      </c>
      <c r="BH199" s="69">
        <f>INDEX(smp_dc_other,3)*INDEX(ref_scn_cost,2)</f>
        <v>2625</v>
      </c>
      <c r="BI199" s="69">
        <f>INDEX(smp_dc_other,4)*INDEX(ref_scn_cost,2)</f>
        <v>2625</v>
      </c>
      <c r="BJ199" s="69">
        <f>INDEX(smp_dc_other,5)*INDEX(ref_scn_cost,2)</f>
        <v>2625</v>
      </c>
      <c r="BK199" s="69">
        <f>INDEX(smp_dc_other,6)*INDEX(ref_scn_cost,2)</f>
        <v>2625</v>
      </c>
      <c r="BL199" s="69">
        <f>INDEX(smp_dc_other,7)*INDEX(ref_scn_cost,2)</f>
        <v>2625</v>
      </c>
      <c r="BM199" s="69">
        <f>INDEX(smp_dc_other,8)*INDEX(ref_scn_cost,2)</f>
        <v>2625</v>
      </c>
      <c r="BN199" s="69">
        <f>INDEX(smp_dc_other,9)*INDEX(ref_scn_cost,2)</f>
        <v>2625</v>
      </c>
      <c r="BO199" s="69">
        <f>INDEX(smp_dc_other,10)*INDEX(ref_scn_cost,2)</f>
        <v>2625</v>
      </c>
      <c r="BP199" s="69">
        <f>INDEX(smp_dc_other,11)*INDEX(ref_scn_cost,2)</f>
        <v>2625</v>
      </c>
      <c r="BQ199" s="69">
        <f>INDEX(smp_dc_other,12)*INDEX(ref_scn_cost,2)</f>
        <v>2625</v>
      </c>
      <c r="BR199" s="69">
        <f>INDEX(smp_dc_other,13)*INDEX(ref_scn_cost,2)</f>
        <v>2625</v>
      </c>
      <c r="BS199" s="69">
        <f>INDEX(smp_dc_other,14)*INDEX(ref_scn_cost,2)</f>
        <v>2625</v>
      </c>
      <c r="BT199" s="69">
        <f>INDEX(smp_dc_other,15)*INDEX(ref_scn_cost,2)</f>
        <v>2625</v>
      </c>
      <c r="BU199" s="69">
        <f>INDEX(smp_dc_other,16)*INDEX(ref_scn_cost,2)</f>
        <v>2625</v>
      </c>
      <c r="BV199" s="69">
        <f>INDEX(smp_dc_other,17)*INDEX(ref_scn_cost,2)</f>
        <v>2625</v>
      </c>
      <c r="BW199" s="69">
        <f>INDEX(smp_dc_other,18)*INDEX(ref_scn_cost,2)</f>
        <v>2625</v>
      </c>
      <c r="BX199" s="69">
        <f>INDEX(smp_dc_other,19)*INDEX(ref_scn_cost,2)</f>
        <v>2625</v>
      </c>
      <c r="BY199" s="69">
        <f>INDEX(smp_dc_other,20)*INDEX(ref_scn_cost,2)</f>
        <v>2625</v>
      </c>
      <c r="BZ199" s="69">
        <f>INDEX(smp_dc_other,21)*INDEX(ref_scn_cost,2)</f>
        <v>2625</v>
      </c>
      <c r="CA199" s="69">
        <f>INDEX(smp_dc_other,22)*INDEX(ref_scn_cost,2)</f>
        <v>2625</v>
      </c>
      <c r="CB199" s="69">
        <f>INDEX(smp_dc_other,23)*INDEX(ref_scn_cost,2)</f>
        <v>2625</v>
      </c>
      <c r="CC199" s="69">
        <f>INDEX(smp_dc_other,24)*INDEX(ref_scn_cost,2)</f>
        <v>2625</v>
      </c>
      <c r="CD199" s="70">
        <f t="shared" si="82"/>
        <v>31500</v>
      </c>
      <c r="CE199" s="70">
        <f t="shared" si="83"/>
        <v>31500</v>
      </c>
      <c r="CF199" s="2"/>
      <c r="CG199" s="69">
        <f>INDEX(smp_dc_other,1)*INDEX(ref_scn_cost,3)</f>
        <v>2450</v>
      </c>
      <c r="CH199" s="69">
        <f>INDEX(smp_dc_other,2)*INDEX(ref_scn_cost,3)</f>
        <v>2450</v>
      </c>
      <c r="CI199" s="69">
        <f>INDEX(smp_dc_other,3)*INDEX(ref_scn_cost,3)</f>
        <v>2450</v>
      </c>
      <c r="CJ199" s="69">
        <f>INDEX(smp_dc_other,4)*INDEX(ref_scn_cost,3)</f>
        <v>2450</v>
      </c>
      <c r="CK199" s="69">
        <f>INDEX(smp_dc_other,5)*INDEX(ref_scn_cost,3)</f>
        <v>2450</v>
      </c>
      <c r="CL199" s="69">
        <f>INDEX(smp_dc_other,6)*INDEX(ref_scn_cost,3)</f>
        <v>2450</v>
      </c>
      <c r="CM199" s="69">
        <f>INDEX(smp_dc_other,7)*INDEX(ref_scn_cost,3)</f>
        <v>2450</v>
      </c>
      <c r="CN199" s="69">
        <f>INDEX(smp_dc_other,8)*INDEX(ref_scn_cost,3)</f>
        <v>2450</v>
      </c>
      <c r="CO199" s="69">
        <f>INDEX(smp_dc_other,9)*INDEX(ref_scn_cost,3)</f>
        <v>2450</v>
      </c>
      <c r="CP199" s="69">
        <f>INDEX(smp_dc_other,10)*INDEX(ref_scn_cost,3)</f>
        <v>2450</v>
      </c>
      <c r="CQ199" s="69">
        <f>INDEX(smp_dc_other,11)*INDEX(ref_scn_cost,3)</f>
        <v>2450</v>
      </c>
      <c r="CR199" s="69">
        <f>INDEX(smp_dc_other,12)*INDEX(ref_scn_cost,3)</f>
        <v>2450</v>
      </c>
      <c r="CS199" s="69">
        <f>INDEX(smp_dc_other,13)*INDEX(ref_scn_cost,3)</f>
        <v>2450</v>
      </c>
      <c r="CT199" s="69">
        <f>INDEX(smp_dc_other,14)*INDEX(ref_scn_cost,3)</f>
        <v>2450</v>
      </c>
      <c r="CU199" s="69">
        <f>INDEX(smp_dc_other,15)*INDEX(ref_scn_cost,3)</f>
        <v>2450</v>
      </c>
      <c r="CV199" s="69">
        <f>INDEX(smp_dc_other,16)*INDEX(ref_scn_cost,3)</f>
        <v>2450</v>
      </c>
      <c r="CW199" s="69">
        <f>INDEX(smp_dc_other,17)*INDEX(ref_scn_cost,3)</f>
        <v>2450</v>
      </c>
      <c r="CX199" s="69">
        <f>INDEX(smp_dc_other,18)*INDEX(ref_scn_cost,3)</f>
        <v>2450</v>
      </c>
      <c r="CY199" s="69">
        <f>INDEX(smp_dc_other,19)*INDEX(ref_scn_cost,3)</f>
        <v>2450</v>
      </c>
      <c r="CZ199" s="69">
        <f>INDEX(smp_dc_other,20)*INDEX(ref_scn_cost,3)</f>
        <v>2450</v>
      </c>
      <c r="DA199" s="69">
        <f>INDEX(smp_dc_other,21)*INDEX(ref_scn_cost,3)</f>
        <v>2450</v>
      </c>
      <c r="DB199" s="69">
        <f>INDEX(smp_dc_other,22)*INDEX(ref_scn_cost,3)</f>
        <v>2450</v>
      </c>
      <c r="DC199" s="69">
        <f>INDEX(smp_dc_other,23)*INDEX(ref_scn_cost,3)</f>
        <v>2450</v>
      </c>
      <c r="DD199" s="69">
        <f>INDEX(smp_dc_other,24)*INDEX(ref_scn_cost,3)</f>
        <v>2450</v>
      </c>
      <c r="DE199" s="70">
        <f t="shared" si="84"/>
        <v>29400</v>
      </c>
      <c r="DF199" s="70">
        <f t="shared" si="85"/>
        <v>29400</v>
      </c>
      <c r="DG199"/>
      <c r="DH199"/>
    </row>
    <row r="200" spans="1:112" hidden="1" x14ac:dyDescent="0.2">
      <c r="A200" s="1"/>
      <c r="B200" s="35" t="s">
        <v>122</v>
      </c>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2"/>
      <c r="AE200" s="70">
        <f t="shared" ref="AE200:BB200" si="104">AE191+AE192+AE193+AE194+AE195+AE196+AE197+AE198+AE199</f>
        <v>191850</v>
      </c>
      <c r="AF200" s="70">
        <f t="shared" si="104"/>
        <v>197950</v>
      </c>
      <c r="AG200" s="70">
        <f t="shared" si="104"/>
        <v>204770</v>
      </c>
      <c r="AH200" s="70">
        <f t="shared" si="104"/>
        <v>211310</v>
      </c>
      <c r="AI200" s="70">
        <f t="shared" si="104"/>
        <v>217530</v>
      </c>
      <c r="AJ200" s="70">
        <f t="shared" si="104"/>
        <v>214710</v>
      </c>
      <c r="AK200" s="70">
        <f t="shared" si="104"/>
        <v>211570</v>
      </c>
      <c r="AL200" s="70">
        <f t="shared" si="104"/>
        <v>211040</v>
      </c>
      <c r="AM200" s="70">
        <f t="shared" si="104"/>
        <v>217580</v>
      </c>
      <c r="AN200" s="70">
        <f t="shared" si="104"/>
        <v>223760</v>
      </c>
      <c r="AO200" s="70">
        <f t="shared" si="104"/>
        <v>228010</v>
      </c>
      <c r="AP200" s="70">
        <f t="shared" si="104"/>
        <v>227800</v>
      </c>
      <c r="AQ200" s="70">
        <f t="shared" si="104"/>
        <v>228540</v>
      </c>
      <c r="AR200" s="70">
        <f t="shared" si="104"/>
        <v>234400</v>
      </c>
      <c r="AS200" s="70">
        <f t="shared" si="104"/>
        <v>240260</v>
      </c>
      <c r="AT200" s="70">
        <f t="shared" si="104"/>
        <v>246800</v>
      </c>
      <c r="AU200" s="70">
        <f t="shared" si="104"/>
        <v>251090</v>
      </c>
      <c r="AV200" s="70">
        <f t="shared" si="104"/>
        <v>250200</v>
      </c>
      <c r="AW200" s="70">
        <f t="shared" si="104"/>
        <v>247060</v>
      </c>
      <c r="AX200" s="70">
        <f t="shared" si="104"/>
        <v>246850</v>
      </c>
      <c r="AY200" s="70">
        <f t="shared" si="104"/>
        <v>251350</v>
      </c>
      <c r="AZ200" s="70">
        <f t="shared" si="104"/>
        <v>255850</v>
      </c>
      <c r="BA200" s="70">
        <f t="shared" si="104"/>
        <v>258100</v>
      </c>
      <c r="BB200" s="70">
        <f t="shared" si="104"/>
        <v>255850</v>
      </c>
      <c r="BC200" s="70">
        <f t="shared" si="80"/>
        <v>2557880</v>
      </c>
      <c r="BD200" s="70">
        <f t="shared" si="81"/>
        <v>2966350</v>
      </c>
      <c r="BE200" s="2"/>
      <c r="BF200" s="70">
        <f t="shared" ref="BF200:CC200" si="105">BF191+BF192+BF193+BF194+BF195+BF196+BF197+BF198+BF199</f>
        <v>176502.375</v>
      </c>
      <c r="BG200" s="70">
        <f t="shared" si="105"/>
        <v>181946.625</v>
      </c>
      <c r="BH200" s="70">
        <f t="shared" si="105"/>
        <v>188033.47500000001</v>
      </c>
      <c r="BI200" s="70">
        <f t="shared" si="105"/>
        <v>193870.42499999999</v>
      </c>
      <c r="BJ200" s="70">
        <f t="shared" si="105"/>
        <v>199421.77499999999</v>
      </c>
      <c r="BK200" s="70">
        <f t="shared" si="105"/>
        <v>196904.92499999999</v>
      </c>
      <c r="BL200" s="70">
        <f t="shared" si="105"/>
        <v>194102.47500000001</v>
      </c>
      <c r="BM200" s="70">
        <f t="shared" si="105"/>
        <v>193629.45</v>
      </c>
      <c r="BN200" s="70">
        <f t="shared" si="105"/>
        <v>199466.4</v>
      </c>
      <c r="BO200" s="70">
        <f t="shared" si="105"/>
        <v>204982.05</v>
      </c>
      <c r="BP200" s="70">
        <f t="shared" si="105"/>
        <v>208775.17500000002</v>
      </c>
      <c r="BQ200" s="70">
        <f t="shared" si="105"/>
        <v>208587.75</v>
      </c>
      <c r="BR200" s="70">
        <f t="shared" si="105"/>
        <v>209248.2</v>
      </c>
      <c r="BS200" s="70">
        <f t="shared" si="105"/>
        <v>214478.25</v>
      </c>
      <c r="BT200" s="70">
        <f t="shared" si="105"/>
        <v>219708.30000000002</v>
      </c>
      <c r="BU200" s="70">
        <f t="shared" si="105"/>
        <v>225545.25</v>
      </c>
      <c r="BV200" s="70">
        <f t="shared" si="105"/>
        <v>229374.07500000001</v>
      </c>
      <c r="BW200" s="70">
        <f t="shared" si="105"/>
        <v>228579.75</v>
      </c>
      <c r="BX200" s="70">
        <f t="shared" si="105"/>
        <v>225777.30000000002</v>
      </c>
      <c r="BY200" s="70">
        <f t="shared" si="105"/>
        <v>225589.875</v>
      </c>
      <c r="BZ200" s="70">
        <f t="shared" si="105"/>
        <v>229606.125</v>
      </c>
      <c r="CA200" s="70">
        <f t="shared" si="105"/>
        <v>233622.375</v>
      </c>
      <c r="CB200" s="70">
        <f t="shared" si="105"/>
        <v>235630.5</v>
      </c>
      <c r="CC200" s="70">
        <f t="shared" si="105"/>
        <v>233622.375</v>
      </c>
      <c r="CD200" s="70">
        <f t="shared" si="82"/>
        <v>2346222.9</v>
      </c>
      <c r="CE200" s="70">
        <f t="shared" si="83"/>
        <v>2710782.375</v>
      </c>
      <c r="CF200" s="2"/>
      <c r="CG200" s="70">
        <f t="shared" ref="CG200:DD200" si="106">CG191+CG192+CG193+CG194+CG195+CG196+CG197+CG198+CG199</f>
        <v>203531.30000000002</v>
      </c>
      <c r="CH200" s="70">
        <f t="shared" si="106"/>
        <v>210107.1</v>
      </c>
      <c r="CI200" s="70">
        <f t="shared" si="106"/>
        <v>217459.06000000003</v>
      </c>
      <c r="CJ200" s="70">
        <f t="shared" si="106"/>
        <v>224509.18000000002</v>
      </c>
      <c r="CK200" s="70">
        <f t="shared" si="106"/>
        <v>231214.34000000003</v>
      </c>
      <c r="CL200" s="70">
        <f t="shared" si="106"/>
        <v>228174.38000000003</v>
      </c>
      <c r="CM200" s="70">
        <f t="shared" si="106"/>
        <v>224789.46</v>
      </c>
      <c r="CN200" s="70">
        <f t="shared" si="106"/>
        <v>224218.12000000002</v>
      </c>
      <c r="CO200" s="70">
        <f t="shared" si="106"/>
        <v>231268.24000000002</v>
      </c>
      <c r="CP200" s="70">
        <f t="shared" si="106"/>
        <v>237930.28000000003</v>
      </c>
      <c r="CQ200" s="70">
        <f t="shared" si="106"/>
        <v>242511.78000000003</v>
      </c>
      <c r="CR200" s="70">
        <f t="shared" si="106"/>
        <v>242285.40000000002</v>
      </c>
      <c r="CS200" s="70">
        <f t="shared" si="106"/>
        <v>243083.12000000002</v>
      </c>
      <c r="CT200" s="70">
        <f t="shared" si="106"/>
        <v>249400.2</v>
      </c>
      <c r="CU200" s="70">
        <f t="shared" si="106"/>
        <v>255717.28000000003</v>
      </c>
      <c r="CV200" s="70">
        <f t="shared" si="106"/>
        <v>262767.40000000002</v>
      </c>
      <c r="CW200" s="70">
        <f t="shared" si="106"/>
        <v>267392.02</v>
      </c>
      <c r="CX200" s="70">
        <f t="shared" si="106"/>
        <v>266432.60000000003</v>
      </c>
      <c r="CY200" s="70">
        <f t="shared" si="106"/>
        <v>263047.68000000005</v>
      </c>
      <c r="CZ200" s="70">
        <f t="shared" si="106"/>
        <v>262821.30000000005</v>
      </c>
      <c r="DA200" s="70">
        <f t="shared" si="106"/>
        <v>267672.30000000005</v>
      </c>
      <c r="DB200" s="70">
        <f t="shared" si="106"/>
        <v>272523.30000000005</v>
      </c>
      <c r="DC200" s="70">
        <f t="shared" si="106"/>
        <v>274948.80000000005</v>
      </c>
      <c r="DD200" s="70">
        <f t="shared" si="106"/>
        <v>272523.30000000005</v>
      </c>
      <c r="DE200" s="70">
        <f t="shared" si="84"/>
        <v>2717998.64</v>
      </c>
      <c r="DF200" s="70">
        <f t="shared" si="85"/>
        <v>3158329.3</v>
      </c>
      <c r="DG200"/>
      <c r="DH200"/>
    </row>
    <row r="201" spans="1:112" hidden="1" x14ac:dyDescent="0.2">
      <c r="A201" s="1"/>
      <c r="B201" s="35" t="s">
        <v>123</v>
      </c>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2"/>
      <c r="AE201" s="70">
        <f t="shared" ref="AE201:BB201" si="107">AE190-AE200</f>
        <v>168150</v>
      </c>
      <c r="AF201" s="70">
        <f t="shared" si="107"/>
        <v>177050</v>
      </c>
      <c r="AG201" s="70">
        <f t="shared" si="107"/>
        <v>187230</v>
      </c>
      <c r="AH201" s="70">
        <f t="shared" si="107"/>
        <v>196690</v>
      </c>
      <c r="AI201" s="70">
        <f t="shared" si="107"/>
        <v>205470</v>
      </c>
      <c r="AJ201" s="70">
        <f t="shared" si="107"/>
        <v>203290</v>
      </c>
      <c r="AK201" s="70">
        <f t="shared" si="107"/>
        <v>200430</v>
      </c>
      <c r="AL201" s="70">
        <f t="shared" si="107"/>
        <v>200960</v>
      </c>
      <c r="AM201" s="70">
        <f t="shared" si="107"/>
        <v>210420</v>
      </c>
      <c r="AN201" s="70">
        <f t="shared" si="107"/>
        <v>219240</v>
      </c>
      <c r="AO201" s="70">
        <f t="shared" si="107"/>
        <v>225990</v>
      </c>
      <c r="AP201" s="70">
        <f t="shared" si="107"/>
        <v>227200</v>
      </c>
      <c r="AQ201" s="70">
        <f t="shared" si="107"/>
        <v>227460</v>
      </c>
      <c r="AR201" s="70">
        <f t="shared" si="107"/>
        <v>235600</v>
      </c>
      <c r="AS201" s="70">
        <f t="shared" si="107"/>
        <v>243740</v>
      </c>
      <c r="AT201" s="70">
        <f t="shared" si="107"/>
        <v>253200</v>
      </c>
      <c r="AU201" s="70">
        <f t="shared" si="107"/>
        <v>259910</v>
      </c>
      <c r="AV201" s="70">
        <f t="shared" si="107"/>
        <v>259800</v>
      </c>
      <c r="AW201" s="70">
        <f t="shared" si="107"/>
        <v>256940</v>
      </c>
      <c r="AX201" s="70">
        <f t="shared" si="107"/>
        <v>258150</v>
      </c>
      <c r="AY201" s="70">
        <f t="shared" si="107"/>
        <v>263650</v>
      </c>
      <c r="AZ201" s="70">
        <f t="shared" si="107"/>
        <v>269150</v>
      </c>
      <c r="BA201" s="70">
        <f t="shared" si="107"/>
        <v>271900</v>
      </c>
      <c r="BB201" s="70">
        <f t="shared" si="107"/>
        <v>269150</v>
      </c>
      <c r="BC201" s="70">
        <f t="shared" si="80"/>
        <v>2422120</v>
      </c>
      <c r="BD201" s="70">
        <f t="shared" si="81"/>
        <v>3068650</v>
      </c>
      <c r="BE201" s="2"/>
      <c r="BF201" s="70">
        <f t="shared" ref="BF201:CC201" si="108">BF190-BF200</f>
        <v>129497.625</v>
      </c>
      <c r="BG201" s="70">
        <f t="shared" si="108"/>
        <v>136803.375</v>
      </c>
      <c r="BH201" s="70">
        <f t="shared" si="108"/>
        <v>145166.52499999999</v>
      </c>
      <c r="BI201" s="70">
        <f t="shared" si="108"/>
        <v>152929.57500000001</v>
      </c>
      <c r="BJ201" s="70">
        <f t="shared" si="108"/>
        <v>160128.22500000001</v>
      </c>
      <c r="BK201" s="70">
        <f t="shared" si="108"/>
        <v>158395.07500000001</v>
      </c>
      <c r="BL201" s="70">
        <f t="shared" si="108"/>
        <v>156097.52499999999</v>
      </c>
      <c r="BM201" s="70">
        <f t="shared" si="108"/>
        <v>156570.54999999999</v>
      </c>
      <c r="BN201" s="70">
        <f t="shared" si="108"/>
        <v>164333.6</v>
      </c>
      <c r="BO201" s="70">
        <f t="shared" si="108"/>
        <v>171567.95</v>
      </c>
      <c r="BP201" s="70">
        <f t="shared" si="108"/>
        <v>177124.82499999998</v>
      </c>
      <c r="BQ201" s="70">
        <f t="shared" si="108"/>
        <v>178162.25</v>
      </c>
      <c r="BR201" s="70">
        <f t="shared" si="108"/>
        <v>178351.8</v>
      </c>
      <c r="BS201" s="70">
        <f t="shared" si="108"/>
        <v>185021.75</v>
      </c>
      <c r="BT201" s="70">
        <f t="shared" si="108"/>
        <v>191691.69999999998</v>
      </c>
      <c r="BU201" s="70">
        <f t="shared" si="108"/>
        <v>199454.75</v>
      </c>
      <c r="BV201" s="70">
        <f t="shared" si="108"/>
        <v>204975.92499999999</v>
      </c>
      <c r="BW201" s="70">
        <f t="shared" si="108"/>
        <v>204920.25</v>
      </c>
      <c r="BX201" s="70">
        <f t="shared" si="108"/>
        <v>202622.69999999998</v>
      </c>
      <c r="BY201" s="70">
        <f t="shared" si="108"/>
        <v>203660.125</v>
      </c>
      <c r="BZ201" s="70">
        <f t="shared" si="108"/>
        <v>208143.875</v>
      </c>
      <c r="CA201" s="70">
        <f t="shared" si="108"/>
        <v>212627.625</v>
      </c>
      <c r="CB201" s="70">
        <f t="shared" si="108"/>
        <v>214869.5</v>
      </c>
      <c r="CC201" s="70">
        <f t="shared" si="108"/>
        <v>212627.625</v>
      </c>
      <c r="CD201" s="70">
        <f t="shared" si="82"/>
        <v>1886777.1</v>
      </c>
      <c r="CE201" s="70">
        <f t="shared" si="83"/>
        <v>2418967.625</v>
      </c>
      <c r="CF201" s="2"/>
      <c r="CG201" s="70">
        <f t="shared" ref="CG201:DD201" si="109">CG190-CG200</f>
        <v>192468.69999999998</v>
      </c>
      <c r="CH201" s="70">
        <f t="shared" si="109"/>
        <v>202392.9</v>
      </c>
      <c r="CI201" s="70">
        <f t="shared" si="109"/>
        <v>213740.93999999997</v>
      </c>
      <c r="CJ201" s="70">
        <f t="shared" si="109"/>
        <v>224290.82000000004</v>
      </c>
      <c r="CK201" s="70">
        <f t="shared" si="109"/>
        <v>234085.66000000003</v>
      </c>
      <c r="CL201" s="70">
        <f t="shared" si="109"/>
        <v>231625.62000000002</v>
      </c>
      <c r="CM201" s="70">
        <f t="shared" si="109"/>
        <v>228410.54</v>
      </c>
      <c r="CN201" s="70">
        <f t="shared" si="109"/>
        <v>228981.87999999998</v>
      </c>
      <c r="CO201" s="70">
        <f t="shared" si="109"/>
        <v>239531.76000000004</v>
      </c>
      <c r="CP201" s="70">
        <f t="shared" si="109"/>
        <v>249369.72000000003</v>
      </c>
      <c r="CQ201" s="70">
        <f t="shared" si="109"/>
        <v>256888.22000000003</v>
      </c>
      <c r="CR201" s="70">
        <f t="shared" si="109"/>
        <v>258214.60000000003</v>
      </c>
      <c r="CS201" s="70">
        <f t="shared" si="109"/>
        <v>258516.88000000003</v>
      </c>
      <c r="CT201" s="70">
        <f t="shared" si="109"/>
        <v>267599.8</v>
      </c>
      <c r="CU201" s="70">
        <f t="shared" si="109"/>
        <v>276682.71999999997</v>
      </c>
      <c r="CV201" s="70">
        <f t="shared" si="109"/>
        <v>287232.59999999998</v>
      </c>
      <c r="CW201" s="70">
        <f t="shared" si="109"/>
        <v>294707.98</v>
      </c>
      <c r="CX201" s="70">
        <f t="shared" si="109"/>
        <v>294567.39999999997</v>
      </c>
      <c r="CY201" s="70">
        <f t="shared" si="109"/>
        <v>291352.31999999995</v>
      </c>
      <c r="CZ201" s="70">
        <f t="shared" si="109"/>
        <v>292678.69999999995</v>
      </c>
      <c r="DA201" s="70">
        <f t="shared" si="109"/>
        <v>298827.69999999995</v>
      </c>
      <c r="DB201" s="70">
        <f t="shared" si="109"/>
        <v>304976.69999999995</v>
      </c>
      <c r="DC201" s="70">
        <f t="shared" si="109"/>
        <v>308051.19999999995</v>
      </c>
      <c r="DD201" s="70">
        <f t="shared" si="109"/>
        <v>304976.69999999995</v>
      </c>
      <c r="DE201" s="70">
        <f t="shared" si="84"/>
        <v>2760001.3600000003</v>
      </c>
      <c r="DF201" s="70">
        <f t="shared" si="85"/>
        <v>3480170.7</v>
      </c>
      <c r="DG201"/>
      <c r="DH201"/>
    </row>
    <row r="202" spans="1:112" hidden="1" x14ac:dyDescent="0.2">
      <c r="A202" s="1"/>
      <c r="B202" s="35" t="s">
        <v>124</v>
      </c>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2"/>
      <c r="AE202" s="32">
        <f t="shared" ref="AE202:BB202" si="110">IFERROR(AE201/AE190,0)</f>
        <v>0.46708333333333335</v>
      </c>
      <c r="AF202" s="32">
        <f t="shared" si="110"/>
        <v>0.47213333333333335</v>
      </c>
      <c r="AG202" s="32">
        <f t="shared" si="110"/>
        <v>0.47762755102040816</v>
      </c>
      <c r="AH202" s="32">
        <f t="shared" si="110"/>
        <v>0.48208333333333331</v>
      </c>
      <c r="AI202" s="32">
        <f t="shared" si="110"/>
        <v>0.48574468085106381</v>
      </c>
      <c r="AJ202" s="32">
        <f t="shared" si="110"/>
        <v>0.48633971291866029</v>
      </c>
      <c r="AK202" s="32">
        <f t="shared" si="110"/>
        <v>0.48648058252427184</v>
      </c>
      <c r="AL202" s="32">
        <f t="shared" si="110"/>
        <v>0.48776699029126214</v>
      </c>
      <c r="AM202" s="32">
        <f t="shared" si="110"/>
        <v>0.4916355140186916</v>
      </c>
      <c r="AN202" s="32">
        <f t="shared" si="110"/>
        <v>0.49489841986455985</v>
      </c>
      <c r="AO202" s="32">
        <f t="shared" si="110"/>
        <v>0.49777533039647576</v>
      </c>
      <c r="AP202" s="32">
        <f t="shared" si="110"/>
        <v>0.49934065934065935</v>
      </c>
      <c r="AQ202" s="32">
        <f t="shared" si="110"/>
        <v>0.49881578947368421</v>
      </c>
      <c r="AR202" s="32">
        <f t="shared" si="110"/>
        <v>0.50127659574468086</v>
      </c>
      <c r="AS202" s="32">
        <f t="shared" si="110"/>
        <v>0.50359504132231403</v>
      </c>
      <c r="AT202" s="32">
        <f t="shared" si="110"/>
        <v>0.50639999999999996</v>
      </c>
      <c r="AU202" s="32">
        <f t="shared" si="110"/>
        <v>0.50863013698630133</v>
      </c>
      <c r="AV202" s="32">
        <f t="shared" si="110"/>
        <v>0.50941176470588234</v>
      </c>
      <c r="AW202" s="32">
        <f t="shared" si="110"/>
        <v>0.50980158730158731</v>
      </c>
      <c r="AX202" s="32">
        <f t="shared" si="110"/>
        <v>0.5111881188118812</v>
      </c>
      <c r="AY202" s="32">
        <f t="shared" si="110"/>
        <v>0.51194174757281552</v>
      </c>
      <c r="AZ202" s="32">
        <f t="shared" si="110"/>
        <v>0.51266666666666671</v>
      </c>
      <c r="BA202" s="32">
        <f t="shared" si="110"/>
        <v>0.51301886792452833</v>
      </c>
      <c r="BB202" s="32">
        <f t="shared" si="110"/>
        <v>0.51266666666666671</v>
      </c>
      <c r="BC202" s="76">
        <f>IFERROR(SUM(AE201:AP201)/SUM(AE190:AP190),0)</f>
        <v>0.48636947791164659</v>
      </c>
      <c r="BD202" s="76">
        <f>IFERROR(SUM(AQ201:BB201)/SUM(AQ190:BB190),0)</f>
        <v>0.50847555923777965</v>
      </c>
      <c r="BE202" s="2"/>
      <c r="BF202" s="32">
        <f t="shared" ref="BF202:CC202" si="111">IFERROR(BF201/BF190,0)</f>
        <v>0.42319485294117648</v>
      </c>
      <c r="BG202" s="32">
        <f t="shared" si="111"/>
        <v>0.42918705882352942</v>
      </c>
      <c r="BH202" s="32">
        <f t="shared" si="111"/>
        <v>0.4356738445378151</v>
      </c>
      <c r="BI202" s="32">
        <f t="shared" si="111"/>
        <v>0.44097339965397925</v>
      </c>
      <c r="BJ202" s="32">
        <f t="shared" si="111"/>
        <v>0.4453573216520651</v>
      </c>
      <c r="BK202" s="32">
        <f t="shared" si="111"/>
        <v>0.4458065719110611</v>
      </c>
      <c r="BL202" s="32">
        <f t="shared" si="111"/>
        <v>0.44573822101656196</v>
      </c>
      <c r="BM202" s="32">
        <f t="shared" si="111"/>
        <v>0.44708894917190173</v>
      </c>
      <c r="BN202" s="32">
        <f t="shared" si="111"/>
        <v>0.45171412864211108</v>
      </c>
      <c r="BO202" s="32">
        <f t="shared" si="111"/>
        <v>0.45563125746912764</v>
      </c>
      <c r="BP202" s="32">
        <f t="shared" si="111"/>
        <v>0.45899151334542621</v>
      </c>
      <c r="BQ202" s="32">
        <f t="shared" si="111"/>
        <v>0.46066515837104072</v>
      </c>
      <c r="BR202" s="32">
        <f t="shared" si="111"/>
        <v>0.46014396284829717</v>
      </c>
      <c r="BS202" s="32">
        <f t="shared" si="111"/>
        <v>0.46313329161451816</v>
      </c>
      <c r="BT202" s="32">
        <f t="shared" si="111"/>
        <v>0.4659496840058337</v>
      </c>
      <c r="BU202" s="32">
        <f t="shared" si="111"/>
        <v>0.46930529411764704</v>
      </c>
      <c r="BV202" s="32">
        <f t="shared" si="111"/>
        <v>0.47191418211120062</v>
      </c>
      <c r="BW202" s="32">
        <f t="shared" si="111"/>
        <v>0.47271107266435985</v>
      </c>
      <c r="BX202" s="32">
        <f t="shared" si="111"/>
        <v>0.47297549019607837</v>
      </c>
      <c r="BY202" s="32">
        <f t="shared" si="111"/>
        <v>0.47445573675014563</v>
      </c>
      <c r="BZ202" s="32">
        <f t="shared" si="111"/>
        <v>0.47548572244431753</v>
      </c>
      <c r="CA202" s="32">
        <f t="shared" si="111"/>
        <v>0.47647647058823528</v>
      </c>
      <c r="CB202" s="32">
        <f t="shared" si="111"/>
        <v>0.47695782463928965</v>
      </c>
      <c r="CC202" s="32">
        <f t="shared" si="111"/>
        <v>0.47647647058823528</v>
      </c>
      <c r="CD202" s="76">
        <f>IFERROR(SUM(BF201:BQ201)/SUM(BF190:BQ190),0)</f>
        <v>0.44573047484053863</v>
      </c>
      <c r="CE202" s="76">
        <f>IFERROR(SUM(BR201:CC201)/SUM(BR190:CC190),0)</f>
        <v>0.47155663044007995</v>
      </c>
      <c r="CF202" s="2"/>
      <c r="CG202" s="32">
        <f t="shared" ref="CG202:DD202" si="112">IFERROR(CG201/CG190,0)</f>
        <v>0.48603207070707066</v>
      </c>
      <c r="CH202" s="32">
        <f t="shared" si="112"/>
        <v>0.49064945454545456</v>
      </c>
      <c r="CI202" s="32">
        <f t="shared" si="112"/>
        <v>0.4956886363636363</v>
      </c>
      <c r="CJ202" s="32">
        <f t="shared" si="112"/>
        <v>0.49975672905525848</v>
      </c>
      <c r="CK202" s="32">
        <f t="shared" si="112"/>
        <v>0.50308545024715234</v>
      </c>
      <c r="CL202" s="32">
        <f t="shared" si="112"/>
        <v>0.50375297955632881</v>
      </c>
      <c r="CM202" s="32">
        <f t="shared" si="112"/>
        <v>0.50399501323918805</v>
      </c>
      <c r="CN202" s="32">
        <f t="shared" si="112"/>
        <v>0.50525569285083838</v>
      </c>
      <c r="CO202" s="32">
        <f t="shared" si="112"/>
        <v>0.50877604078164829</v>
      </c>
      <c r="CP202" s="32">
        <f t="shared" si="112"/>
        <v>0.51173757438949308</v>
      </c>
      <c r="CQ202" s="32">
        <f t="shared" si="112"/>
        <v>0.51439371245494592</v>
      </c>
      <c r="CR202" s="32">
        <f t="shared" si="112"/>
        <v>0.51591328671328673</v>
      </c>
      <c r="CS202" s="32">
        <f t="shared" si="112"/>
        <v>0.51538452950558211</v>
      </c>
      <c r="CT202" s="32">
        <f t="shared" si="112"/>
        <v>0.517601160541586</v>
      </c>
      <c r="CU202" s="32">
        <f t="shared" si="112"/>
        <v>0.51968955672426742</v>
      </c>
      <c r="CV202" s="32">
        <f t="shared" si="112"/>
        <v>0.52224109090909088</v>
      </c>
      <c r="CW202" s="32">
        <f t="shared" si="112"/>
        <v>0.52429813200498132</v>
      </c>
      <c r="CX202" s="32">
        <f t="shared" si="112"/>
        <v>0.52507557932263804</v>
      </c>
      <c r="CY202" s="32">
        <f t="shared" si="112"/>
        <v>0.52552727272727262</v>
      </c>
      <c r="CZ202" s="32">
        <f t="shared" si="112"/>
        <v>0.52687434743474337</v>
      </c>
      <c r="DA202" s="32">
        <f t="shared" si="112"/>
        <v>0.52749814651368043</v>
      </c>
      <c r="DB202" s="32">
        <f t="shared" si="112"/>
        <v>0.52809818181818169</v>
      </c>
      <c r="DC202" s="32">
        <f t="shared" si="112"/>
        <v>0.5283897084048027</v>
      </c>
      <c r="DD202" s="32">
        <f t="shared" si="112"/>
        <v>0.52809818181818169</v>
      </c>
      <c r="DE202" s="76">
        <f>IFERROR(SUM(CG201:CR201)/SUM(CG190:CR190),0)</f>
        <v>0.50383376414749914</v>
      </c>
      <c r="DF202" s="76">
        <f>IFERROR(SUM(CS201:DD201)/SUM(CS190:DD190),0)</f>
        <v>0.52424052120207876</v>
      </c>
      <c r="DG202"/>
      <c r="DH202"/>
    </row>
    <row r="203" spans="1:112" hidden="1" x14ac:dyDescent="0.2">
      <c r="A203" s="1"/>
      <c r="B203" s="35" t="s">
        <v>125</v>
      </c>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2"/>
      <c r="AE203" s="69">
        <f>INDEX(smp_ox_payroll,1)*INDEX(ref_scn_cost,1)</f>
        <v>84583.333333333328</v>
      </c>
      <c r="AF203" s="69">
        <f>INDEX(smp_ox_payroll,2)*INDEX(ref_scn_cost,1)</f>
        <v>84583.333333333328</v>
      </c>
      <c r="AG203" s="69">
        <f>INDEX(smp_ox_payroll,3)*INDEX(ref_scn_cost,1)</f>
        <v>84583.333333333328</v>
      </c>
      <c r="AH203" s="69">
        <f>INDEX(smp_ox_payroll,4)*INDEX(ref_scn_cost,1)</f>
        <v>84583.333333333328</v>
      </c>
      <c r="AI203" s="69">
        <f>INDEX(smp_ox_payroll,5)*INDEX(ref_scn_cost,1)</f>
        <v>84583.333333333328</v>
      </c>
      <c r="AJ203" s="69">
        <f>INDEX(smp_ox_payroll,6)*INDEX(ref_scn_cost,1)</f>
        <v>84583.333333333328</v>
      </c>
      <c r="AK203" s="69">
        <f>INDEX(smp_ox_payroll,7)*INDEX(ref_scn_cost,1)</f>
        <v>84583.333333333328</v>
      </c>
      <c r="AL203" s="69">
        <f>INDEX(smp_ox_payroll,8)*INDEX(ref_scn_cost,1)</f>
        <v>84583.333333333328</v>
      </c>
      <c r="AM203" s="69">
        <f>INDEX(smp_ox_payroll,9)*INDEX(ref_scn_cost,1)</f>
        <v>84583.333333333328</v>
      </c>
      <c r="AN203" s="69">
        <f>INDEX(smp_ox_payroll,10)*INDEX(ref_scn_cost,1)</f>
        <v>84583.333333333328</v>
      </c>
      <c r="AO203" s="69">
        <f>INDEX(smp_ox_payroll,11)*INDEX(ref_scn_cost,1)</f>
        <v>84583.333333333328</v>
      </c>
      <c r="AP203" s="69">
        <f>INDEX(smp_ox_payroll,12)*INDEX(ref_scn_cost,1)</f>
        <v>84583.333333333328</v>
      </c>
      <c r="AQ203" s="69">
        <f>INDEX(smp_ox_payroll,13)*INDEX(ref_scn_cost,1)</f>
        <v>84583.333333333328</v>
      </c>
      <c r="AR203" s="69">
        <f>INDEX(smp_ox_payroll,14)*INDEX(ref_scn_cost,1)</f>
        <v>84583.333333333328</v>
      </c>
      <c r="AS203" s="69">
        <f>INDEX(smp_ox_payroll,15)*INDEX(ref_scn_cost,1)</f>
        <v>84583.333333333328</v>
      </c>
      <c r="AT203" s="69">
        <f>INDEX(smp_ox_payroll,16)*INDEX(ref_scn_cost,1)</f>
        <v>84583.333333333328</v>
      </c>
      <c r="AU203" s="69">
        <f>INDEX(smp_ox_payroll,17)*INDEX(ref_scn_cost,1)</f>
        <v>84583.333333333328</v>
      </c>
      <c r="AV203" s="69">
        <f>INDEX(smp_ox_payroll,18)*INDEX(ref_scn_cost,1)</f>
        <v>84583.333333333328</v>
      </c>
      <c r="AW203" s="69">
        <f>INDEX(smp_ox_payroll,19)*INDEX(ref_scn_cost,1)</f>
        <v>84583.333333333328</v>
      </c>
      <c r="AX203" s="69">
        <f>INDEX(smp_ox_payroll,20)*INDEX(ref_scn_cost,1)</f>
        <v>84583.333333333328</v>
      </c>
      <c r="AY203" s="69">
        <f>INDEX(smp_ox_payroll,21)*INDEX(ref_scn_cost,1)</f>
        <v>84583.333333333328</v>
      </c>
      <c r="AZ203" s="69">
        <f>INDEX(smp_ox_payroll,22)*INDEX(ref_scn_cost,1)</f>
        <v>84583.333333333328</v>
      </c>
      <c r="BA203" s="69">
        <f>INDEX(smp_ox_payroll,23)*INDEX(ref_scn_cost,1)</f>
        <v>84583.333333333328</v>
      </c>
      <c r="BB203" s="69">
        <f>INDEX(smp_ox_payroll,24)*INDEX(ref_scn_cost,1)</f>
        <v>84583.333333333328</v>
      </c>
      <c r="BC203" s="70">
        <f t="shared" ref="BC203:BC211" si="113">SUM(AE203:AP203)</f>
        <v>1015000.0000000001</v>
      </c>
      <c r="BD203" s="70">
        <f t="shared" ref="BD203:BD211" si="114">SUM(AQ203:BB203)</f>
        <v>1015000.0000000001</v>
      </c>
      <c r="BE203" s="2"/>
      <c r="BF203" s="69">
        <f>INDEX(smp_ox_payroll,1)*INDEX(ref_scn_cost,2)</f>
        <v>88812.5</v>
      </c>
      <c r="BG203" s="69">
        <f>INDEX(smp_ox_payroll,2)*INDEX(ref_scn_cost,2)</f>
        <v>88812.5</v>
      </c>
      <c r="BH203" s="69">
        <f>INDEX(smp_ox_payroll,3)*INDEX(ref_scn_cost,2)</f>
        <v>88812.5</v>
      </c>
      <c r="BI203" s="69">
        <f>INDEX(smp_ox_payroll,4)*INDEX(ref_scn_cost,2)</f>
        <v>88812.5</v>
      </c>
      <c r="BJ203" s="69">
        <f>INDEX(smp_ox_payroll,5)*INDEX(ref_scn_cost,2)</f>
        <v>88812.5</v>
      </c>
      <c r="BK203" s="69">
        <f>INDEX(smp_ox_payroll,6)*INDEX(ref_scn_cost,2)</f>
        <v>88812.5</v>
      </c>
      <c r="BL203" s="69">
        <f>INDEX(smp_ox_payroll,7)*INDEX(ref_scn_cost,2)</f>
        <v>88812.5</v>
      </c>
      <c r="BM203" s="69">
        <f>INDEX(smp_ox_payroll,8)*INDEX(ref_scn_cost,2)</f>
        <v>88812.5</v>
      </c>
      <c r="BN203" s="69">
        <f>INDEX(smp_ox_payroll,9)*INDEX(ref_scn_cost,2)</f>
        <v>88812.5</v>
      </c>
      <c r="BO203" s="69">
        <f>INDEX(smp_ox_payroll,10)*INDEX(ref_scn_cost,2)</f>
        <v>88812.5</v>
      </c>
      <c r="BP203" s="69">
        <f>INDEX(smp_ox_payroll,11)*INDEX(ref_scn_cost,2)</f>
        <v>88812.5</v>
      </c>
      <c r="BQ203" s="69">
        <f>INDEX(smp_ox_payroll,12)*INDEX(ref_scn_cost,2)</f>
        <v>88812.5</v>
      </c>
      <c r="BR203" s="69">
        <f>INDEX(smp_ox_payroll,13)*INDEX(ref_scn_cost,2)</f>
        <v>88812.5</v>
      </c>
      <c r="BS203" s="69">
        <f>INDEX(smp_ox_payroll,14)*INDEX(ref_scn_cost,2)</f>
        <v>88812.5</v>
      </c>
      <c r="BT203" s="69">
        <f>INDEX(smp_ox_payroll,15)*INDEX(ref_scn_cost,2)</f>
        <v>88812.5</v>
      </c>
      <c r="BU203" s="69">
        <f>INDEX(smp_ox_payroll,16)*INDEX(ref_scn_cost,2)</f>
        <v>88812.5</v>
      </c>
      <c r="BV203" s="69">
        <f>INDEX(smp_ox_payroll,17)*INDEX(ref_scn_cost,2)</f>
        <v>88812.5</v>
      </c>
      <c r="BW203" s="69">
        <f>INDEX(smp_ox_payroll,18)*INDEX(ref_scn_cost,2)</f>
        <v>88812.5</v>
      </c>
      <c r="BX203" s="69">
        <f>INDEX(smp_ox_payroll,19)*INDEX(ref_scn_cost,2)</f>
        <v>88812.5</v>
      </c>
      <c r="BY203" s="69">
        <f>INDEX(smp_ox_payroll,20)*INDEX(ref_scn_cost,2)</f>
        <v>88812.5</v>
      </c>
      <c r="BZ203" s="69">
        <f>INDEX(smp_ox_payroll,21)*INDEX(ref_scn_cost,2)</f>
        <v>88812.5</v>
      </c>
      <c r="CA203" s="69">
        <f>INDEX(smp_ox_payroll,22)*INDEX(ref_scn_cost,2)</f>
        <v>88812.5</v>
      </c>
      <c r="CB203" s="69">
        <f>INDEX(smp_ox_payroll,23)*INDEX(ref_scn_cost,2)</f>
        <v>88812.5</v>
      </c>
      <c r="CC203" s="69">
        <f>INDEX(smp_ox_payroll,24)*INDEX(ref_scn_cost,2)</f>
        <v>88812.5</v>
      </c>
      <c r="CD203" s="70">
        <f t="shared" ref="CD203:CD211" si="115">SUM(BF203:BQ203)</f>
        <v>1065750</v>
      </c>
      <c r="CE203" s="70">
        <f t="shared" ref="CE203:CE211" si="116">SUM(BR203:CC203)</f>
        <v>1065750</v>
      </c>
      <c r="CF203" s="2"/>
      <c r="CG203" s="69">
        <f>INDEX(smp_ox_payroll,1)*INDEX(ref_scn_cost,3)</f>
        <v>82891.666666666657</v>
      </c>
      <c r="CH203" s="69">
        <f>INDEX(smp_ox_payroll,2)*INDEX(ref_scn_cost,3)</f>
        <v>82891.666666666657</v>
      </c>
      <c r="CI203" s="69">
        <f>INDEX(smp_ox_payroll,3)*INDEX(ref_scn_cost,3)</f>
        <v>82891.666666666657</v>
      </c>
      <c r="CJ203" s="69">
        <f>INDEX(smp_ox_payroll,4)*INDEX(ref_scn_cost,3)</f>
        <v>82891.666666666657</v>
      </c>
      <c r="CK203" s="69">
        <f>INDEX(smp_ox_payroll,5)*INDEX(ref_scn_cost,3)</f>
        <v>82891.666666666657</v>
      </c>
      <c r="CL203" s="69">
        <f>INDEX(smp_ox_payroll,6)*INDEX(ref_scn_cost,3)</f>
        <v>82891.666666666657</v>
      </c>
      <c r="CM203" s="69">
        <f>INDEX(smp_ox_payroll,7)*INDEX(ref_scn_cost,3)</f>
        <v>82891.666666666657</v>
      </c>
      <c r="CN203" s="69">
        <f>INDEX(smp_ox_payroll,8)*INDEX(ref_scn_cost,3)</f>
        <v>82891.666666666657</v>
      </c>
      <c r="CO203" s="69">
        <f>INDEX(smp_ox_payroll,9)*INDEX(ref_scn_cost,3)</f>
        <v>82891.666666666657</v>
      </c>
      <c r="CP203" s="69">
        <f>INDEX(smp_ox_payroll,10)*INDEX(ref_scn_cost,3)</f>
        <v>82891.666666666657</v>
      </c>
      <c r="CQ203" s="69">
        <f>INDEX(smp_ox_payroll,11)*INDEX(ref_scn_cost,3)</f>
        <v>82891.666666666657</v>
      </c>
      <c r="CR203" s="69">
        <f>INDEX(smp_ox_payroll,12)*INDEX(ref_scn_cost,3)</f>
        <v>82891.666666666657</v>
      </c>
      <c r="CS203" s="69">
        <f>INDEX(smp_ox_payroll,13)*INDEX(ref_scn_cost,3)</f>
        <v>82891.666666666657</v>
      </c>
      <c r="CT203" s="69">
        <f>INDEX(smp_ox_payroll,14)*INDEX(ref_scn_cost,3)</f>
        <v>82891.666666666657</v>
      </c>
      <c r="CU203" s="69">
        <f>INDEX(smp_ox_payroll,15)*INDEX(ref_scn_cost,3)</f>
        <v>82891.666666666657</v>
      </c>
      <c r="CV203" s="69">
        <f>INDEX(smp_ox_payroll,16)*INDEX(ref_scn_cost,3)</f>
        <v>82891.666666666657</v>
      </c>
      <c r="CW203" s="69">
        <f>INDEX(smp_ox_payroll,17)*INDEX(ref_scn_cost,3)</f>
        <v>82891.666666666657</v>
      </c>
      <c r="CX203" s="69">
        <f>INDEX(smp_ox_payroll,18)*INDEX(ref_scn_cost,3)</f>
        <v>82891.666666666657</v>
      </c>
      <c r="CY203" s="69">
        <f>INDEX(smp_ox_payroll,19)*INDEX(ref_scn_cost,3)</f>
        <v>82891.666666666657</v>
      </c>
      <c r="CZ203" s="69">
        <f>INDEX(smp_ox_payroll,20)*INDEX(ref_scn_cost,3)</f>
        <v>82891.666666666657</v>
      </c>
      <c r="DA203" s="69">
        <f>INDEX(smp_ox_payroll,21)*INDEX(ref_scn_cost,3)</f>
        <v>82891.666666666657</v>
      </c>
      <c r="DB203" s="69">
        <f>INDEX(smp_ox_payroll,22)*INDEX(ref_scn_cost,3)</f>
        <v>82891.666666666657</v>
      </c>
      <c r="DC203" s="69">
        <f>INDEX(smp_ox_payroll,23)*INDEX(ref_scn_cost,3)</f>
        <v>82891.666666666657</v>
      </c>
      <c r="DD203" s="69">
        <f>INDEX(smp_ox_payroll,24)*INDEX(ref_scn_cost,3)</f>
        <v>82891.666666666657</v>
      </c>
      <c r="DE203" s="70">
        <f t="shared" ref="DE203:DE211" si="117">SUM(CG203:CR203)</f>
        <v>994699.99999999965</v>
      </c>
      <c r="DF203" s="70">
        <f t="shared" ref="DF203:DF211" si="118">SUM(CS203:DD203)</f>
        <v>994699.99999999965</v>
      </c>
      <c r="DG203"/>
      <c r="DH203"/>
    </row>
    <row r="204" spans="1:112" hidden="1" x14ac:dyDescent="0.2">
      <c r="A204" s="1"/>
      <c r="B204" s="35" t="s">
        <v>126</v>
      </c>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2"/>
      <c r="AE204" s="69">
        <f>INDEX(smp_ox_rent,1)*INDEX(ref_scn_cost,1)</f>
        <v>18000</v>
      </c>
      <c r="AF204" s="69">
        <f>INDEX(smp_ox_rent,2)*INDEX(ref_scn_cost,1)</f>
        <v>18000</v>
      </c>
      <c r="AG204" s="69">
        <f>INDEX(smp_ox_rent,3)*INDEX(ref_scn_cost,1)</f>
        <v>18000</v>
      </c>
      <c r="AH204" s="69">
        <f>INDEX(smp_ox_rent,4)*INDEX(ref_scn_cost,1)</f>
        <v>18000</v>
      </c>
      <c r="AI204" s="69">
        <f>INDEX(smp_ox_rent,5)*INDEX(ref_scn_cost,1)</f>
        <v>18000</v>
      </c>
      <c r="AJ204" s="69">
        <f>INDEX(smp_ox_rent,6)*INDEX(ref_scn_cost,1)</f>
        <v>18000</v>
      </c>
      <c r="AK204" s="69">
        <f>INDEX(smp_ox_rent,7)*INDEX(ref_scn_cost,1)</f>
        <v>18000</v>
      </c>
      <c r="AL204" s="69">
        <f>INDEX(smp_ox_rent,8)*INDEX(ref_scn_cost,1)</f>
        <v>18000</v>
      </c>
      <c r="AM204" s="69">
        <f>INDEX(smp_ox_rent,9)*INDEX(ref_scn_cost,1)</f>
        <v>18000</v>
      </c>
      <c r="AN204" s="69">
        <f>INDEX(smp_ox_rent,10)*INDEX(ref_scn_cost,1)</f>
        <v>18000</v>
      </c>
      <c r="AO204" s="69">
        <f>INDEX(smp_ox_rent,11)*INDEX(ref_scn_cost,1)</f>
        <v>18000</v>
      </c>
      <c r="AP204" s="69">
        <f>INDEX(smp_ox_rent,12)*INDEX(ref_scn_cost,1)</f>
        <v>18000</v>
      </c>
      <c r="AQ204" s="69">
        <f>INDEX(smp_ox_rent,13)*INDEX(ref_scn_cost,1)</f>
        <v>18000</v>
      </c>
      <c r="AR204" s="69">
        <f>INDEX(smp_ox_rent,14)*INDEX(ref_scn_cost,1)</f>
        <v>18000</v>
      </c>
      <c r="AS204" s="69">
        <f>INDEX(smp_ox_rent,15)*INDEX(ref_scn_cost,1)</f>
        <v>18000</v>
      </c>
      <c r="AT204" s="69">
        <f>INDEX(smp_ox_rent,16)*INDEX(ref_scn_cost,1)</f>
        <v>18000</v>
      </c>
      <c r="AU204" s="69">
        <f>INDEX(smp_ox_rent,17)*INDEX(ref_scn_cost,1)</f>
        <v>18000</v>
      </c>
      <c r="AV204" s="69">
        <f>INDEX(smp_ox_rent,18)*INDEX(ref_scn_cost,1)</f>
        <v>18000</v>
      </c>
      <c r="AW204" s="69">
        <f>INDEX(smp_ox_rent,19)*INDEX(ref_scn_cost,1)</f>
        <v>18000</v>
      </c>
      <c r="AX204" s="69">
        <f>INDEX(smp_ox_rent,20)*INDEX(ref_scn_cost,1)</f>
        <v>18000</v>
      </c>
      <c r="AY204" s="69">
        <f>INDEX(smp_ox_rent,21)*INDEX(ref_scn_cost,1)</f>
        <v>18000</v>
      </c>
      <c r="AZ204" s="69">
        <f>INDEX(smp_ox_rent,22)*INDEX(ref_scn_cost,1)</f>
        <v>18000</v>
      </c>
      <c r="BA204" s="69">
        <f>INDEX(smp_ox_rent,23)*INDEX(ref_scn_cost,1)</f>
        <v>18000</v>
      </c>
      <c r="BB204" s="69">
        <f>INDEX(smp_ox_rent,24)*INDEX(ref_scn_cost,1)</f>
        <v>18000</v>
      </c>
      <c r="BC204" s="70">
        <f t="shared" si="113"/>
        <v>216000</v>
      </c>
      <c r="BD204" s="70">
        <f t="shared" si="114"/>
        <v>216000</v>
      </c>
      <c r="BE204" s="2"/>
      <c r="BF204" s="69">
        <f>INDEX(smp_ox_rent,1)*INDEX(ref_scn_cost,2)</f>
        <v>18900</v>
      </c>
      <c r="BG204" s="69">
        <f>INDEX(smp_ox_rent,2)*INDEX(ref_scn_cost,2)</f>
        <v>18900</v>
      </c>
      <c r="BH204" s="69">
        <f>INDEX(smp_ox_rent,3)*INDEX(ref_scn_cost,2)</f>
        <v>18900</v>
      </c>
      <c r="BI204" s="69">
        <f>INDEX(smp_ox_rent,4)*INDEX(ref_scn_cost,2)</f>
        <v>18900</v>
      </c>
      <c r="BJ204" s="69">
        <f>INDEX(smp_ox_rent,5)*INDEX(ref_scn_cost,2)</f>
        <v>18900</v>
      </c>
      <c r="BK204" s="69">
        <f>INDEX(smp_ox_rent,6)*INDEX(ref_scn_cost,2)</f>
        <v>18900</v>
      </c>
      <c r="BL204" s="69">
        <f>INDEX(smp_ox_rent,7)*INDEX(ref_scn_cost,2)</f>
        <v>18900</v>
      </c>
      <c r="BM204" s="69">
        <f>INDEX(smp_ox_rent,8)*INDEX(ref_scn_cost,2)</f>
        <v>18900</v>
      </c>
      <c r="BN204" s="69">
        <f>INDEX(smp_ox_rent,9)*INDEX(ref_scn_cost,2)</f>
        <v>18900</v>
      </c>
      <c r="BO204" s="69">
        <f>INDEX(smp_ox_rent,10)*INDEX(ref_scn_cost,2)</f>
        <v>18900</v>
      </c>
      <c r="BP204" s="69">
        <f>INDEX(smp_ox_rent,11)*INDEX(ref_scn_cost,2)</f>
        <v>18900</v>
      </c>
      <c r="BQ204" s="69">
        <f>INDEX(smp_ox_rent,12)*INDEX(ref_scn_cost,2)</f>
        <v>18900</v>
      </c>
      <c r="BR204" s="69">
        <f>INDEX(smp_ox_rent,13)*INDEX(ref_scn_cost,2)</f>
        <v>18900</v>
      </c>
      <c r="BS204" s="69">
        <f>INDEX(smp_ox_rent,14)*INDEX(ref_scn_cost,2)</f>
        <v>18900</v>
      </c>
      <c r="BT204" s="69">
        <f>INDEX(smp_ox_rent,15)*INDEX(ref_scn_cost,2)</f>
        <v>18900</v>
      </c>
      <c r="BU204" s="69">
        <f>INDEX(smp_ox_rent,16)*INDEX(ref_scn_cost,2)</f>
        <v>18900</v>
      </c>
      <c r="BV204" s="69">
        <f>INDEX(smp_ox_rent,17)*INDEX(ref_scn_cost,2)</f>
        <v>18900</v>
      </c>
      <c r="BW204" s="69">
        <f>INDEX(smp_ox_rent,18)*INDEX(ref_scn_cost,2)</f>
        <v>18900</v>
      </c>
      <c r="BX204" s="69">
        <f>INDEX(smp_ox_rent,19)*INDEX(ref_scn_cost,2)</f>
        <v>18900</v>
      </c>
      <c r="BY204" s="69">
        <f>INDEX(smp_ox_rent,20)*INDEX(ref_scn_cost,2)</f>
        <v>18900</v>
      </c>
      <c r="BZ204" s="69">
        <f>INDEX(smp_ox_rent,21)*INDEX(ref_scn_cost,2)</f>
        <v>18900</v>
      </c>
      <c r="CA204" s="69">
        <f>INDEX(smp_ox_rent,22)*INDEX(ref_scn_cost,2)</f>
        <v>18900</v>
      </c>
      <c r="CB204" s="69">
        <f>INDEX(smp_ox_rent,23)*INDEX(ref_scn_cost,2)</f>
        <v>18900</v>
      </c>
      <c r="CC204" s="69">
        <f>INDEX(smp_ox_rent,24)*INDEX(ref_scn_cost,2)</f>
        <v>18900</v>
      </c>
      <c r="CD204" s="70">
        <f t="shared" si="115"/>
        <v>226800</v>
      </c>
      <c r="CE204" s="70">
        <f t="shared" si="116"/>
        <v>226800</v>
      </c>
      <c r="CF204" s="2"/>
      <c r="CG204" s="69">
        <f>INDEX(smp_ox_rent,1)*INDEX(ref_scn_cost,3)</f>
        <v>17640</v>
      </c>
      <c r="CH204" s="69">
        <f>INDEX(smp_ox_rent,2)*INDEX(ref_scn_cost,3)</f>
        <v>17640</v>
      </c>
      <c r="CI204" s="69">
        <f>INDEX(smp_ox_rent,3)*INDEX(ref_scn_cost,3)</f>
        <v>17640</v>
      </c>
      <c r="CJ204" s="69">
        <f>INDEX(smp_ox_rent,4)*INDEX(ref_scn_cost,3)</f>
        <v>17640</v>
      </c>
      <c r="CK204" s="69">
        <f>INDEX(smp_ox_rent,5)*INDEX(ref_scn_cost,3)</f>
        <v>17640</v>
      </c>
      <c r="CL204" s="69">
        <f>INDEX(smp_ox_rent,6)*INDEX(ref_scn_cost,3)</f>
        <v>17640</v>
      </c>
      <c r="CM204" s="69">
        <f>INDEX(smp_ox_rent,7)*INDEX(ref_scn_cost,3)</f>
        <v>17640</v>
      </c>
      <c r="CN204" s="69">
        <f>INDEX(smp_ox_rent,8)*INDEX(ref_scn_cost,3)</f>
        <v>17640</v>
      </c>
      <c r="CO204" s="69">
        <f>INDEX(smp_ox_rent,9)*INDEX(ref_scn_cost,3)</f>
        <v>17640</v>
      </c>
      <c r="CP204" s="69">
        <f>INDEX(smp_ox_rent,10)*INDEX(ref_scn_cost,3)</f>
        <v>17640</v>
      </c>
      <c r="CQ204" s="69">
        <f>INDEX(smp_ox_rent,11)*INDEX(ref_scn_cost,3)</f>
        <v>17640</v>
      </c>
      <c r="CR204" s="69">
        <f>INDEX(smp_ox_rent,12)*INDEX(ref_scn_cost,3)</f>
        <v>17640</v>
      </c>
      <c r="CS204" s="69">
        <f>INDEX(smp_ox_rent,13)*INDEX(ref_scn_cost,3)</f>
        <v>17640</v>
      </c>
      <c r="CT204" s="69">
        <f>INDEX(smp_ox_rent,14)*INDEX(ref_scn_cost,3)</f>
        <v>17640</v>
      </c>
      <c r="CU204" s="69">
        <f>INDEX(smp_ox_rent,15)*INDEX(ref_scn_cost,3)</f>
        <v>17640</v>
      </c>
      <c r="CV204" s="69">
        <f>INDEX(smp_ox_rent,16)*INDEX(ref_scn_cost,3)</f>
        <v>17640</v>
      </c>
      <c r="CW204" s="69">
        <f>INDEX(smp_ox_rent,17)*INDEX(ref_scn_cost,3)</f>
        <v>17640</v>
      </c>
      <c r="CX204" s="69">
        <f>INDEX(smp_ox_rent,18)*INDEX(ref_scn_cost,3)</f>
        <v>17640</v>
      </c>
      <c r="CY204" s="69">
        <f>INDEX(smp_ox_rent,19)*INDEX(ref_scn_cost,3)</f>
        <v>17640</v>
      </c>
      <c r="CZ204" s="69">
        <f>INDEX(smp_ox_rent,20)*INDEX(ref_scn_cost,3)</f>
        <v>17640</v>
      </c>
      <c r="DA204" s="69">
        <f>INDEX(smp_ox_rent,21)*INDEX(ref_scn_cost,3)</f>
        <v>17640</v>
      </c>
      <c r="DB204" s="69">
        <f>INDEX(smp_ox_rent,22)*INDEX(ref_scn_cost,3)</f>
        <v>17640</v>
      </c>
      <c r="DC204" s="69">
        <f>INDEX(smp_ox_rent,23)*INDEX(ref_scn_cost,3)</f>
        <v>17640</v>
      </c>
      <c r="DD204" s="69">
        <f>INDEX(smp_ox_rent,24)*INDEX(ref_scn_cost,3)</f>
        <v>17640</v>
      </c>
      <c r="DE204" s="70">
        <f t="shared" si="117"/>
        <v>211680</v>
      </c>
      <c r="DF204" s="70">
        <f t="shared" si="118"/>
        <v>211680</v>
      </c>
      <c r="DG204"/>
      <c r="DH204"/>
    </row>
    <row r="205" spans="1:112" hidden="1" x14ac:dyDescent="0.2">
      <c r="A205" s="1"/>
      <c r="B205" s="35" t="s">
        <v>127</v>
      </c>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2"/>
      <c r="AE205" s="69">
        <f>INDEX(smp_ox_software,1)*INDEX(ref_scn_cost,1)</f>
        <v>7500</v>
      </c>
      <c r="AF205" s="69">
        <f>INDEX(smp_ox_software,2)*INDEX(ref_scn_cost,1)</f>
        <v>7500</v>
      </c>
      <c r="AG205" s="69">
        <f>INDEX(smp_ox_software,3)*INDEX(ref_scn_cost,1)</f>
        <v>7500</v>
      </c>
      <c r="AH205" s="69">
        <f>INDEX(smp_ox_software,4)*INDEX(ref_scn_cost,1)</f>
        <v>7500</v>
      </c>
      <c r="AI205" s="69">
        <f>INDEX(smp_ox_software,5)*INDEX(ref_scn_cost,1)</f>
        <v>7500</v>
      </c>
      <c r="AJ205" s="69">
        <f>INDEX(smp_ox_software,6)*INDEX(ref_scn_cost,1)</f>
        <v>7500</v>
      </c>
      <c r="AK205" s="69">
        <f>INDEX(smp_ox_software,7)*INDEX(ref_scn_cost,1)</f>
        <v>7500</v>
      </c>
      <c r="AL205" s="69">
        <f>INDEX(smp_ox_software,8)*INDEX(ref_scn_cost,1)</f>
        <v>7500</v>
      </c>
      <c r="AM205" s="69">
        <f>INDEX(smp_ox_software,9)*INDEX(ref_scn_cost,1)</f>
        <v>7500</v>
      </c>
      <c r="AN205" s="69">
        <f>INDEX(smp_ox_software,10)*INDEX(ref_scn_cost,1)</f>
        <v>7500</v>
      </c>
      <c r="AO205" s="69">
        <f>INDEX(smp_ox_software,11)*INDEX(ref_scn_cost,1)</f>
        <v>7500</v>
      </c>
      <c r="AP205" s="69">
        <f>INDEX(smp_ox_software,12)*INDEX(ref_scn_cost,1)</f>
        <v>7500</v>
      </c>
      <c r="AQ205" s="69">
        <f>INDEX(smp_ox_software,13)*INDEX(ref_scn_cost,1)</f>
        <v>7500</v>
      </c>
      <c r="AR205" s="69">
        <f>INDEX(smp_ox_software,14)*INDEX(ref_scn_cost,1)</f>
        <v>7500</v>
      </c>
      <c r="AS205" s="69">
        <f>INDEX(smp_ox_software,15)*INDEX(ref_scn_cost,1)</f>
        <v>7500</v>
      </c>
      <c r="AT205" s="69">
        <f>INDEX(smp_ox_software,16)*INDEX(ref_scn_cost,1)</f>
        <v>7500</v>
      </c>
      <c r="AU205" s="69">
        <f>INDEX(smp_ox_software,17)*INDEX(ref_scn_cost,1)</f>
        <v>7500</v>
      </c>
      <c r="AV205" s="69">
        <f>INDEX(smp_ox_software,18)*INDEX(ref_scn_cost,1)</f>
        <v>7500</v>
      </c>
      <c r="AW205" s="69">
        <f>INDEX(smp_ox_software,19)*INDEX(ref_scn_cost,1)</f>
        <v>7500</v>
      </c>
      <c r="AX205" s="69">
        <f>INDEX(smp_ox_software,20)*INDEX(ref_scn_cost,1)</f>
        <v>7500</v>
      </c>
      <c r="AY205" s="69">
        <f>INDEX(smp_ox_software,21)*INDEX(ref_scn_cost,1)</f>
        <v>7500</v>
      </c>
      <c r="AZ205" s="69">
        <f>INDEX(smp_ox_software,22)*INDEX(ref_scn_cost,1)</f>
        <v>7500</v>
      </c>
      <c r="BA205" s="69">
        <f>INDEX(smp_ox_software,23)*INDEX(ref_scn_cost,1)</f>
        <v>7500</v>
      </c>
      <c r="BB205" s="69">
        <f>INDEX(smp_ox_software,24)*INDEX(ref_scn_cost,1)</f>
        <v>7500</v>
      </c>
      <c r="BC205" s="70">
        <f t="shared" si="113"/>
        <v>90000</v>
      </c>
      <c r="BD205" s="70">
        <f t="shared" si="114"/>
        <v>90000</v>
      </c>
      <c r="BE205" s="2"/>
      <c r="BF205" s="69">
        <f>INDEX(smp_ox_software,1)*INDEX(ref_scn_cost,2)</f>
        <v>7875</v>
      </c>
      <c r="BG205" s="69">
        <f>INDEX(smp_ox_software,2)*INDEX(ref_scn_cost,2)</f>
        <v>7875</v>
      </c>
      <c r="BH205" s="69">
        <f>INDEX(smp_ox_software,3)*INDEX(ref_scn_cost,2)</f>
        <v>7875</v>
      </c>
      <c r="BI205" s="69">
        <f>INDEX(smp_ox_software,4)*INDEX(ref_scn_cost,2)</f>
        <v>7875</v>
      </c>
      <c r="BJ205" s="69">
        <f>INDEX(smp_ox_software,5)*INDEX(ref_scn_cost,2)</f>
        <v>7875</v>
      </c>
      <c r="BK205" s="69">
        <f>INDEX(smp_ox_software,6)*INDEX(ref_scn_cost,2)</f>
        <v>7875</v>
      </c>
      <c r="BL205" s="69">
        <f>INDEX(smp_ox_software,7)*INDEX(ref_scn_cost,2)</f>
        <v>7875</v>
      </c>
      <c r="BM205" s="69">
        <f>INDEX(smp_ox_software,8)*INDEX(ref_scn_cost,2)</f>
        <v>7875</v>
      </c>
      <c r="BN205" s="69">
        <f>INDEX(smp_ox_software,9)*INDEX(ref_scn_cost,2)</f>
        <v>7875</v>
      </c>
      <c r="BO205" s="69">
        <f>INDEX(smp_ox_software,10)*INDEX(ref_scn_cost,2)</f>
        <v>7875</v>
      </c>
      <c r="BP205" s="69">
        <f>INDEX(smp_ox_software,11)*INDEX(ref_scn_cost,2)</f>
        <v>7875</v>
      </c>
      <c r="BQ205" s="69">
        <f>INDEX(smp_ox_software,12)*INDEX(ref_scn_cost,2)</f>
        <v>7875</v>
      </c>
      <c r="BR205" s="69">
        <f>INDEX(smp_ox_software,13)*INDEX(ref_scn_cost,2)</f>
        <v>7875</v>
      </c>
      <c r="BS205" s="69">
        <f>INDEX(smp_ox_software,14)*INDEX(ref_scn_cost,2)</f>
        <v>7875</v>
      </c>
      <c r="BT205" s="69">
        <f>INDEX(smp_ox_software,15)*INDEX(ref_scn_cost,2)</f>
        <v>7875</v>
      </c>
      <c r="BU205" s="69">
        <f>INDEX(smp_ox_software,16)*INDEX(ref_scn_cost,2)</f>
        <v>7875</v>
      </c>
      <c r="BV205" s="69">
        <f>INDEX(smp_ox_software,17)*INDEX(ref_scn_cost,2)</f>
        <v>7875</v>
      </c>
      <c r="BW205" s="69">
        <f>INDEX(smp_ox_software,18)*INDEX(ref_scn_cost,2)</f>
        <v>7875</v>
      </c>
      <c r="BX205" s="69">
        <f>INDEX(smp_ox_software,19)*INDEX(ref_scn_cost,2)</f>
        <v>7875</v>
      </c>
      <c r="BY205" s="69">
        <f>INDEX(smp_ox_software,20)*INDEX(ref_scn_cost,2)</f>
        <v>7875</v>
      </c>
      <c r="BZ205" s="69">
        <f>INDEX(smp_ox_software,21)*INDEX(ref_scn_cost,2)</f>
        <v>7875</v>
      </c>
      <c r="CA205" s="69">
        <f>INDEX(smp_ox_software,22)*INDEX(ref_scn_cost,2)</f>
        <v>7875</v>
      </c>
      <c r="CB205" s="69">
        <f>INDEX(smp_ox_software,23)*INDEX(ref_scn_cost,2)</f>
        <v>7875</v>
      </c>
      <c r="CC205" s="69">
        <f>INDEX(smp_ox_software,24)*INDEX(ref_scn_cost,2)</f>
        <v>7875</v>
      </c>
      <c r="CD205" s="70">
        <f t="shared" si="115"/>
        <v>94500</v>
      </c>
      <c r="CE205" s="70">
        <f t="shared" si="116"/>
        <v>94500</v>
      </c>
      <c r="CF205" s="2"/>
      <c r="CG205" s="69">
        <f>INDEX(smp_ox_software,1)*INDEX(ref_scn_cost,3)</f>
        <v>7350</v>
      </c>
      <c r="CH205" s="69">
        <f>INDEX(smp_ox_software,2)*INDEX(ref_scn_cost,3)</f>
        <v>7350</v>
      </c>
      <c r="CI205" s="69">
        <f>INDEX(smp_ox_software,3)*INDEX(ref_scn_cost,3)</f>
        <v>7350</v>
      </c>
      <c r="CJ205" s="69">
        <f>INDEX(smp_ox_software,4)*INDEX(ref_scn_cost,3)</f>
        <v>7350</v>
      </c>
      <c r="CK205" s="69">
        <f>INDEX(smp_ox_software,5)*INDEX(ref_scn_cost,3)</f>
        <v>7350</v>
      </c>
      <c r="CL205" s="69">
        <f>INDEX(smp_ox_software,6)*INDEX(ref_scn_cost,3)</f>
        <v>7350</v>
      </c>
      <c r="CM205" s="69">
        <f>INDEX(smp_ox_software,7)*INDEX(ref_scn_cost,3)</f>
        <v>7350</v>
      </c>
      <c r="CN205" s="69">
        <f>INDEX(smp_ox_software,8)*INDEX(ref_scn_cost,3)</f>
        <v>7350</v>
      </c>
      <c r="CO205" s="69">
        <f>INDEX(smp_ox_software,9)*INDEX(ref_scn_cost,3)</f>
        <v>7350</v>
      </c>
      <c r="CP205" s="69">
        <f>INDEX(smp_ox_software,10)*INDEX(ref_scn_cost,3)</f>
        <v>7350</v>
      </c>
      <c r="CQ205" s="69">
        <f>INDEX(smp_ox_software,11)*INDEX(ref_scn_cost,3)</f>
        <v>7350</v>
      </c>
      <c r="CR205" s="69">
        <f>INDEX(smp_ox_software,12)*INDEX(ref_scn_cost,3)</f>
        <v>7350</v>
      </c>
      <c r="CS205" s="69">
        <f>INDEX(smp_ox_software,13)*INDEX(ref_scn_cost,3)</f>
        <v>7350</v>
      </c>
      <c r="CT205" s="69">
        <f>INDEX(smp_ox_software,14)*INDEX(ref_scn_cost,3)</f>
        <v>7350</v>
      </c>
      <c r="CU205" s="69">
        <f>INDEX(smp_ox_software,15)*INDEX(ref_scn_cost,3)</f>
        <v>7350</v>
      </c>
      <c r="CV205" s="69">
        <f>INDEX(smp_ox_software,16)*INDEX(ref_scn_cost,3)</f>
        <v>7350</v>
      </c>
      <c r="CW205" s="69">
        <f>INDEX(smp_ox_software,17)*INDEX(ref_scn_cost,3)</f>
        <v>7350</v>
      </c>
      <c r="CX205" s="69">
        <f>INDEX(smp_ox_software,18)*INDEX(ref_scn_cost,3)</f>
        <v>7350</v>
      </c>
      <c r="CY205" s="69">
        <f>INDEX(smp_ox_software,19)*INDEX(ref_scn_cost,3)</f>
        <v>7350</v>
      </c>
      <c r="CZ205" s="69">
        <f>INDEX(smp_ox_software,20)*INDEX(ref_scn_cost,3)</f>
        <v>7350</v>
      </c>
      <c r="DA205" s="69">
        <f>INDEX(smp_ox_software,21)*INDEX(ref_scn_cost,3)</f>
        <v>7350</v>
      </c>
      <c r="DB205" s="69">
        <f>INDEX(smp_ox_software,22)*INDEX(ref_scn_cost,3)</f>
        <v>7350</v>
      </c>
      <c r="DC205" s="69">
        <f>INDEX(smp_ox_software,23)*INDEX(ref_scn_cost,3)</f>
        <v>7350</v>
      </c>
      <c r="DD205" s="69">
        <f>INDEX(smp_ox_software,24)*INDEX(ref_scn_cost,3)</f>
        <v>7350</v>
      </c>
      <c r="DE205" s="70">
        <f t="shared" si="117"/>
        <v>88200</v>
      </c>
      <c r="DF205" s="70">
        <f t="shared" si="118"/>
        <v>88200</v>
      </c>
      <c r="DG205"/>
      <c r="DH205"/>
    </row>
    <row r="206" spans="1:112" hidden="1" x14ac:dyDescent="0.2">
      <c r="A206" s="1"/>
      <c r="B206" s="35" t="s">
        <v>128</v>
      </c>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2"/>
      <c r="AE206" s="69">
        <f>INDEX(smp_ox_sales_mktg,1)*INDEX(ref_scn_cost,1)</f>
        <v>16000</v>
      </c>
      <c r="AF206" s="69">
        <f>INDEX(smp_ox_sales_mktg,2)*INDEX(ref_scn_cost,1)</f>
        <v>16000</v>
      </c>
      <c r="AG206" s="69">
        <f>INDEX(smp_ox_sales_mktg,3)*INDEX(ref_scn_cost,1)</f>
        <v>16000</v>
      </c>
      <c r="AH206" s="69">
        <f>INDEX(smp_ox_sales_mktg,4)*INDEX(ref_scn_cost,1)</f>
        <v>16000</v>
      </c>
      <c r="AI206" s="69">
        <f>INDEX(smp_ox_sales_mktg,5)*INDEX(ref_scn_cost,1)</f>
        <v>16000</v>
      </c>
      <c r="AJ206" s="69">
        <f>INDEX(smp_ox_sales_mktg,6)*INDEX(ref_scn_cost,1)</f>
        <v>16000</v>
      </c>
      <c r="AK206" s="69">
        <f>INDEX(smp_ox_sales_mktg,7)*INDEX(ref_scn_cost,1)</f>
        <v>16000</v>
      </c>
      <c r="AL206" s="69">
        <f>INDEX(smp_ox_sales_mktg,8)*INDEX(ref_scn_cost,1)</f>
        <v>16000</v>
      </c>
      <c r="AM206" s="69">
        <f>INDEX(smp_ox_sales_mktg,9)*INDEX(ref_scn_cost,1)</f>
        <v>16000</v>
      </c>
      <c r="AN206" s="69">
        <f>INDEX(smp_ox_sales_mktg,10)*INDEX(ref_scn_cost,1)</f>
        <v>16000</v>
      </c>
      <c r="AO206" s="69">
        <f>INDEX(smp_ox_sales_mktg,11)*INDEX(ref_scn_cost,1)</f>
        <v>16000</v>
      </c>
      <c r="AP206" s="69">
        <f>INDEX(smp_ox_sales_mktg,12)*INDEX(ref_scn_cost,1)</f>
        <v>16000</v>
      </c>
      <c r="AQ206" s="69">
        <f>INDEX(smp_ox_sales_mktg,13)*INDEX(ref_scn_cost,1)</f>
        <v>16000</v>
      </c>
      <c r="AR206" s="69">
        <f>INDEX(smp_ox_sales_mktg,14)*INDEX(ref_scn_cost,1)</f>
        <v>16000</v>
      </c>
      <c r="AS206" s="69">
        <f>INDEX(smp_ox_sales_mktg,15)*INDEX(ref_scn_cost,1)</f>
        <v>16000</v>
      </c>
      <c r="AT206" s="69">
        <f>INDEX(smp_ox_sales_mktg,16)*INDEX(ref_scn_cost,1)</f>
        <v>16000</v>
      </c>
      <c r="AU206" s="69">
        <f>INDEX(smp_ox_sales_mktg,17)*INDEX(ref_scn_cost,1)</f>
        <v>16000</v>
      </c>
      <c r="AV206" s="69">
        <f>INDEX(smp_ox_sales_mktg,18)*INDEX(ref_scn_cost,1)</f>
        <v>16000</v>
      </c>
      <c r="AW206" s="69">
        <f>INDEX(smp_ox_sales_mktg,19)*INDEX(ref_scn_cost,1)</f>
        <v>16000</v>
      </c>
      <c r="AX206" s="69">
        <f>INDEX(smp_ox_sales_mktg,20)*INDEX(ref_scn_cost,1)</f>
        <v>16000</v>
      </c>
      <c r="AY206" s="69">
        <f>INDEX(smp_ox_sales_mktg,21)*INDEX(ref_scn_cost,1)</f>
        <v>16000</v>
      </c>
      <c r="AZ206" s="69">
        <f>INDEX(smp_ox_sales_mktg,22)*INDEX(ref_scn_cost,1)</f>
        <v>16000</v>
      </c>
      <c r="BA206" s="69">
        <f>INDEX(smp_ox_sales_mktg,23)*INDEX(ref_scn_cost,1)</f>
        <v>16000</v>
      </c>
      <c r="BB206" s="69">
        <f>INDEX(smp_ox_sales_mktg,24)*INDEX(ref_scn_cost,1)</f>
        <v>16000</v>
      </c>
      <c r="BC206" s="70">
        <f t="shared" si="113"/>
        <v>192000</v>
      </c>
      <c r="BD206" s="70">
        <f t="shared" si="114"/>
        <v>192000</v>
      </c>
      <c r="BE206" s="2"/>
      <c r="BF206" s="69">
        <f>INDEX(smp_ox_sales_mktg,1)*INDEX(ref_scn_cost,2)</f>
        <v>16800</v>
      </c>
      <c r="BG206" s="69">
        <f>INDEX(smp_ox_sales_mktg,2)*INDEX(ref_scn_cost,2)</f>
        <v>16800</v>
      </c>
      <c r="BH206" s="69">
        <f>INDEX(smp_ox_sales_mktg,3)*INDEX(ref_scn_cost,2)</f>
        <v>16800</v>
      </c>
      <c r="BI206" s="69">
        <f>INDEX(smp_ox_sales_mktg,4)*INDEX(ref_scn_cost,2)</f>
        <v>16800</v>
      </c>
      <c r="BJ206" s="69">
        <f>INDEX(smp_ox_sales_mktg,5)*INDEX(ref_scn_cost,2)</f>
        <v>16800</v>
      </c>
      <c r="BK206" s="69">
        <f>INDEX(smp_ox_sales_mktg,6)*INDEX(ref_scn_cost,2)</f>
        <v>16800</v>
      </c>
      <c r="BL206" s="69">
        <f>INDEX(smp_ox_sales_mktg,7)*INDEX(ref_scn_cost,2)</f>
        <v>16800</v>
      </c>
      <c r="BM206" s="69">
        <f>INDEX(smp_ox_sales_mktg,8)*INDEX(ref_scn_cost,2)</f>
        <v>16800</v>
      </c>
      <c r="BN206" s="69">
        <f>INDEX(smp_ox_sales_mktg,9)*INDEX(ref_scn_cost,2)</f>
        <v>16800</v>
      </c>
      <c r="BO206" s="69">
        <f>INDEX(smp_ox_sales_mktg,10)*INDEX(ref_scn_cost,2)</f>
        <v>16800</v>
      </c>
      <c r="BP206" s="69">
        <f>INDEX(smp_ox_sales_mktg,11)*INDEX(ref_scn_cost,2)</f>
        <v>16800</v>
      </c>
      <c r="BQ206" s="69">
        <f>INDEX(smp_ox_sales_mktg,12)*INDEX(ref_scn_cost,2)</f>
        <v>16800</v>
      </c>
      <c r="BR206" s="69">
        <f>INDEX(smp_ox_sales_mktg,13)*INDEX(ref_scn_cost,2)</f>
        <v>16800</v>
      </c>
      <c r="BS206" s="69">
        <f>INDEX(smp_ox_sales_mktg,14)*INDEX(ref_scn_cost,2)</f>
        <v>16800</v>
      </c>
      <c r="BT206" s="69">
        <f>INDEX(smp_ox_sales_mktg,15)*INDEX(ref_scn_cost,2)</f>
        <v>16800</v>
      </c>
      <c r="BU206" s="69">
        <f>INDEX(smp_ox_sales_mktg,16)*INDEX(ref_scn_cost,2)</f>
        <v>16800</v>
      </c>
      <c r="BV206" s="69">
        <f>INDEX(smp_ox_sales_mktg,17)*INDEX(ref_scn_cost,2)</f>
        <v>16800</v>
      </c>
      <c r="BW206" s="69">
        <f>INDEX(smp_ox_sales_mktg,18)*INDEX(ref_scn_cost,2)</f>
        <v>16800</v>
      </c>
      <c r="BX206" s="69">
        <f>INDEX(smp_ox_sales_mktg,19)*INDEX(ref_scn_cost,2)</f>
        <v>16800</v>
      </c>
      <c r="BY206" s="69">
        <f>INDEX(smp_ox_sales_mktg,20)*INDEX(ref_scn_cost,2)</f>
        <v>16800</v>
      </c>
      <c r="BZ206" s="69">
        <f>INDEX(smp_ox_sales_mktg,21)*INDEX(ref_scn_cost,2)</f>
        <v>16800</v>
      </c>
      <c r="CA206" s="69">
        <f>INDEX(smp_ox_sales_mktg,22)*INDEX(ref_scn_cost,2)</f>
        <v>16800</v>
      </c>
      <c r="CB206" s="69">
        <f>INDEX(smp_ox_sales_mktg,23)*INDEX(ref_scn_cost,2)</f>
        <v>16800</v>
      </c>
      <c r="CC206" s="69">
        <f>INDEX(smp_ox_sales_mktg,24)*INDEX(ref_scn_cost,2)</f>
        <v>16800</v>
      </c>
      <c r="CD206" s="70">
        <f t="shared" si="115"/>
        <v>201600</v>
      </c>
      <c r="CE206" s="70">
        <f t="shared" si="116"/>
        <v>201600</v>
      </c>
      <c r="CF206" s="2"/>
      <c r="CG206" s="69">
        <f>INDEX(smp_ox_sales_mktg,1)*INDEX(ref_scn_cost,3)</f>
        <v>15680</v>
      </c>
      <c r="CH206" s="69">
        <f>INDEX(smp_ox_sales_mktg,2)*INDEX(ref_scn_cost,3)</f>
        <v>15680</v>
      </c>
      <c r="CI206" s="69">
        <f>INDEX(smp_ox_sales_mktg,3)*INDEX(ref_scn_cost,3)</f>
        <v>15680</v>
      </c>
      <c r="CJ206" s="69">
        <f>INDEX(smp_ox_sales_mktg,4)*INDEX(ref_scn_cost,3)</f>
        <v>15680</v>
      </c>
      <c r="CK206" s="69">
        <f>INDEX(smp_ox_sales_mktg,5)*INDEX(ref_scn_cost,3)</f>
        <v>15680</v>
      </c>
      <c r="CL206" s="69">
        <f>INDEX(smp_ox_sales_mktg,6)*INDEX(ref_scn_cost,3)</f>
        <v>15680</v>
      </c>
      <c r="CM206" s="69">
        <f>INDEX(smp_ox_sales_mktg,7)*INDEX(ref_scn_cost,3)</f>
        <v>15680</v>
      </c>
      <c r="CN206" s="69">
        <f>INDEX(smp_ox_sales_mktg,8)*INDEX(ref_scn_cost,3)</f>
        <v>15680</v>
      </c>
      <c r="CO206" s="69">
        <f>INDEX(smp_ox_sales_mktg,9)*INDEX(ref_scn_cost,3)</f>
        <v>15680</v>
      </c>
      <c r="CP206" s="69">
        <f>INDEX(smp_ox_sales_mktg,10)*INDEX(ref_scn_cost,3)</f>
        <v>15680</v>
      </c>
      <c r="CQ206" s="69">
        <f>INDEX(smp_ox_sales_mktg,11)*INDEX(ref_scn_cost,3)</f>
        <v>15680</v>
      </c>
      <c r="CR206" s="69">
        <f>INDEX(smp_ox_sales_mktg,12)*INDEX(ref_scn_cost,3)</f>
        <v>15680</v>
      </c>
      <c r="CS206" s="69">
        <f>INDEX(smp_ox_sales_mktg,13)*INDEX(ref_scn_cost,3)</f>
        <v>15680</v>
      </c>
      <c r="CT206" s="69">
        <f>INDEX(smp_ox_sales_mktg,14)*INDEX(ref_scn_cost,3)</f>
        <v>15680</v>
      </c>
      <c r="CU206" s="69">
        <f>INDEX(smp_ox_sales_mktg,15)*INDEX(ref_scn_cost,3)</f>
        <v>15680</v>
      </c>
      <c r="CV206" s="69">
        <f>INDEX(smp_ox_sales_mktg,16)*INDEX(ref_scn_cost,3)</f>
        <v>15680</v>
      </c>
      <c r="CW206" s="69">
        <f>INDEX(smp_ox_sales_mktg,17)*INDEX(ref_scn_cost,3)</f>
        <v>15680</v>
      </c>
      <c r="CX206" s="69">
        <f>INDEX(smp_ox_sales_mktg,18)*INDEX(ref_scn_cost,3)</f>
        <v>15680</v>
      </c>
      <c r="CY206" s="69">
        <f>INDEX(smp_ox_sales_mktg,19)*INDEX(ref_scn_cost,3)</f>
        <v>15680</v>
      </c>
      <c r="CZ206" s="69">
        <f>INDEX(smp_ox_sales_mktg,20)*INDEX(ref_scn_cost,3)</f>
        <v>15680</v>
      </c>
      <c r="DA206" s="69">
        <f>INDEX(smp_ox_sales_mktg,21)*INDEX(ref_scn_cost,3)</f>
        <v>15680</v>
      </c>
      <c r="DB206" s="69">
        <f>INDEX(smp_ox_sales_mktg,22)*INDEX(ref_scn_cost,3)</f>
        <v>15680</v>
      </c>
      <c r="DC206" s="69">
        <f>INDEX(smp_ox_sales_mktg,23)*INDEX(ref_scn_cost,3)</f>
        <v>15680</v>
      </c>
      <c r="DD206" s="69">
        <f>INDEX(smp_ox_sales_mktg,24)*INDEX(ref_scn_cost,3)</f>
        <v>15680</v>
      </c>
      <c r="DE206" s="70">
        <f t="shared" si="117"/>
        <v>188160</v>
      </c>
      <c r="DF206" s="70">
        <f t="shared" si="118"/>
        <v>188160</v>
      </c>
      <c r="DG206"/>
      <c r="DH206"/>
    </row>
    <row r="207" spans="1:112" hidden="1" x14ac:dyDescent="0.2">
      <c r="A207" s="1"/>
      <c r="B207" s="35" t="s">
        <v>129</v>
      </c>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2"/>
      <c r="AE207" s="69">
        <f>INDEX(smp_ox_prof_fees,1)*INDEX(ref_scn_cost,1)</f>
        <v>6000</v>
      </c>
      <c r="AF207" s="69">
        <f>INDEX(smp_ox_prof_fees,2)*INDEX(ref_scn_cost,1)</f>
        <v>6000</v>
      </c>
      <c r="AG207" s="69">
        <f>INDEX(smp_ox_prof_fees,3)*INDEX(ref_scn_cost,1)</f>
        <v>6000</v>
      </c>
      <c r="AH207" s="69">
        <f>INDEX(smp_ox_prof_fees,4)*INDEX(ref_scn_cost,1)</f>
        <v>6000</v>
      </c>
      <c r="AI207" s="69">
        <f>INDEX(smp_ox_prof_fees,5)*INDEX(ref_scn_cost,1)</f>
        <v>6000</v>
      </c>
      <c r="AJ207" s="69">
        <f>INDEX(smp_ox_prof_fees,6)*INDEX(ref_scn_cost,1)</f>
        <v>6000</v>
      </c>
      <c r="AK207" s="69">
        <f>INDEX(smp_ox_prof_fees,7)*INDEX(ref_scn_cost,1)</f>
        <v>6000</v>
      </c>
      <c r="AL207" s="69">
        <f>INDEX(smp_ox_prof_fees,8)*INDEX(ref_scn_cost,1)</f>
        <v>6000</v>
      </c>
      <c r="AM207" s="69">
        <f>INDEX(smp_ox_prof_fees,9)*INDEX(ref_scn_cost,1)</f>
        <v>6000</v>
      </c>
      <c r="AN207" s="69">
        <f>INDEX(smp_ox_prof_fees,10)*INDEX(ref_scn_cost,1)</f>
        <v>6000</v>
      </c>
      <c r="AO207" s="69">
        <f>INDEX(smp_ox_prof_fees,11)*INDEX(ref_scn_cost,1)</f>
        <v>6000</v>
      </c>
      <c r="AP207" s="69">
        <f>INDEX(smp_ox_prof_fees,12)*INDEX(ref_scn_cost,1)</f>
        <v>6000</v>
      </c>
      <c r="AQ207" s="69">
        <f>INDEX(smp_ox_prof_fees,13)*INDEX(ref_scn_cost,1)</f>
        <v>6000</v>
      </c>
      <c r="AR207" s="69">
        <f>INDEX(smp_ox_prof_fees,14)*INDEX(ref_scn_cost,1)</f>
        <v>6000</v>
      </c>
      <c r="AS207" s="69">
        <f>INDEX(smp_ox_prof_fees,15)*INDEX(ref_scn_cost,1)</f>
        <v>6000</v>
      </c>
      <c r="AT207" s="69">
        <f>INDEX(smp_ox_prof_fees,16)*INDEX(ref_scn_cost,1)</f>
        <v>6000</v>
      </c>
      <c r="AU207" s="69">
        <f>INDEX(smp_ox_prof_fees,17)*INDEX(ref_scn_cost,1)</f>
        <v>6000</v>
      </c>
      <c r="AV207" s="69">
        <f>INDEX(smp_ox_prof_fees,18)*INDEX(ref_scn_cost,1)</f>
        <v>6000</v>
      </c>
      <c r="AW207" s="69">
        <f>INDEX(smp_ox_prof_fees,19)*INDEX(ref_scn_cost,1)</f>
        <v>6000</v>
      </c>
      <c r="AX207" s="69">
        <f>INDEX(smp_ox_prof_fees,20)*INDEX(ref_scn_cost,1)</f>
        <v>6000</v>
      </c>
      <c r="AY207" s="69">
        <f>INDEX(smp_ox_prof_fees,21)*INDEX(ref_scn_cost,1)</f>
        <v>6000</v>
      </c>
      <c r="AZ207" s="69">
        <f>INDEX(smp_ox_prof_fees,22)*INDEX(ref_scn_cost,1)</f>
        <v>6000</v>
      </c>
      <c r="BA207" s="69">
        <f>INDEX(smp_ox_prof_fees,23)*INDEX(ref_scn_cost,1)</f>
        <v>6000</v>
      </c>
      <c r="BB207" s="69">
        <f>INDEX(smp_ox_prof_fees,24)*INDEX(ref_scn_cost,1)</f>
        <v>6000</v>
      </c>
      <c r="BC207" s="70">
        <f t="shared" si="113"/>
        <v>72000</v>
      </c>
      <c r="BD207" s="70">
        <f t="shared" si="114"/>
        <v>72000</v>
      </c>
      <c r="BE207" s="2"/>
      <c r="BF207" s="69">
        <f>INDEX(smp_ox_prof_fees,1)*INDEX(ref_scn_cost,2)</f>
        <v>6300</v>
      </c>
      <c r="BG207" s="69">
        <f>INDEX(smp_ox_prof_fees,2)*INDEX(ref_scn_cost,2)</f>
        <v>6300</v>
      </c>
      <c r="BH207" s="69">
        <f>INDEX(smp_ox_prof_fees,3)*INDEX(ref_scn_cost,2)</f>
        <v>6300</v>
      </c>
      <c r="BI207" s="69">
        <f>INDEX(smp_ox_prof_fees,4)*INDEX(ref_scn_cost,2)</f>
        <v>6300</v>
      </c>
      <c r="BJ207" s="69">
        <f>INDEX(smp_ox_prof_fees,5)*INDEX(ref_scn_cost,2)</f>
        <v>6300</v>
      </c>
      <c r="BK207" s="69">
        <f>INDEX(smp_ox_prof_fees,6)*INDEX(ref_scn_cost,2)</f>
        <v>6300</v>
      </c>
      <c r="BL207" s="69">
        <f>INDEX(smp_ox_prof_fees,7)*INDEX(ref_scn_cost,2)</f>
        <v>6300</v>
      </c>
      <c r="BM207" s="69">
        <f>INDEX(smp_ox_prof_fees,8)*INDEX(ref_scn_cost,2)</f>
        <v>6300</v>
      </c>
      <c r="BN207" s="69">
        <f>INDEX(smp_ox_prof_fees,9)*INDEX(ref_scn_cost,2)</f>
        <v>6300</v>
      </c>
      <c r="BO207" s="69">
        <f>INDEX(smp_ox_prof_fees,10)*INDEX(ref_scn_cost,2)</f>
        <v>6300</v>
      </c>
      <c r="BP207" s="69">
        <f>INDEX(smp_ox_prof_fees,11)*INDEX(ref_scn_cost,2)</f>
        <v>6300</v>
      </c>
      <c r="BQ207" s="69">
        <f>INDEX(smp_ox_prof_fees,12)*INDEX(ref_scn_cost,2)</f>
        <v>6300</v>
      </c>
      <c r="BR207" s="69">
        <f>INDEX(smp_ox_prof_fees,13)*INDEX(ref_scn_cost,2)</f>
        <v>6300</v>
      </c>
      <c r="BS207" s="69">
        <f>INDEX(smp_ox_prof_fees,14)*INDEX(ref_scn_cost,2)</f>
        <v>6300</v>
      </c>
      <c r="BT207" s="69">
        <f>INDEX(smp_ox_prof_fees,15)*INDEX(ref_scn_cost,2)</f>
        <v>6300</v>
      </c>
      <c r="BU207" s="69">
        <f>INDEX(smp_ox_prof_fees,16)*INDEX(ref_scn_cost,2)</f>
        <v>6300</v>
      </c>
      <c r="BV207" s="69">
        <f>INDEX(smp_ox_prof_fees,17)*INDEX(ref_scn_cost,2)</f>
        <v>6300</v>
      </c>
      <c r="BW207" s="69">
        <f>INDEX(smp_ox_prof_fees,18)*INDEX(ref_scn_cost,2)</f>
        <v>6300</v>
      </c>
      <c r="BX207" s="69">
        <f>INDEX(smp_ox_prof_fees,19)*INDEX(ref_scn_cost,2)</f>
        <v>6300</v>
      </c>
      <c r="BY207" s="69">
        <f>INDEX(smp_ox_prof_fees,20)*INDEX(ref_scn_cost,2)</f>
        <v>6300</v>
      </c>
      <c r="BZ207" s="69">
        <f>INDEX(smp_ox_prof_fees,21)*INDEX(ref_scn_cost,2)</f>
        <v>6300</v>
      </c>
      <c r="CA207" s="69">
        <f>INDEX(smp_ox_prof_fees,22)*INDEX(ref_scn_cost,2)</f>
        <v>6300</v>
      </c>
      <c r="CB207" s="69">
        <f>INDEX(smp_ox_prof_fees,23)*INDEX(ref_scn_cost,2)</f>
        <v>6300</v>
      </c>
      <c r="CC207" s="69">
        <f>INDEX(smp_ox_prof_fees,24)*INDEX(ref_scn_cost,2)</f>
        <v>6300</v>
      </c>
      <c r="CD207" s="70">
        <f t="shared" si="115"/>
        <v>75600</v>
      </c>
      <c r="CE207" s="70">
        <f t="shared" si="116"/>
        <v>75600</v>
      </c>
      <c r="CF207" s="2"/>
      <c r="CG207" s="69">
        <f>INDEX(smp_ox_prof_fees,1)*INDEX(ref_scn_cost,3)</f>
        <v>5880</v>
      </c>
      <c r="CH207" s="69">
        <f>INDEX(smp_ox_prof_fees,2)*INDEX(ref_scn_cost,3)</f>
        <v>5880</v>
      </c>
      <c r="CI207" s="69">
        <f>INDEX(smp_ox_prof_fees,3)*INDEX(ref_scn_cost,3)</f>
        <v>5880</v>
      </c>
      <c r="CJ207" s="69">
        <f>INDEX(smp_ox_prof_fees,4)*INDEX(ref_scn_cost,3)</f>
        <v>5880</v>
      </c>
      <c r="CK207" s="69">
        <f>INDEX(smp_ox_prof_fees,5)*INDEX(ref_scn_cost,3)</f>
        <v>5880</v>
      </c>
      <c r="CL207" s="69">
        <f>INDEX(smp_ox_prof_fees,6)*INDEX(ref_scn_cost,3)</f>
        <v>5880</v>
      </c>
      <c r="CM207" s="69">
        <f>INDEX(smp_ox_prof_fees,7)*INDEX(ref_scn_cost,3)</f>
        <v>5880</v>
      </c>
      <c r="CN207" s="69">
        <f>INDEX(smp_ox_prof_fees,8)*INDEX(ref_scn_cost,3)</f>
        <v>5880</v>
      </c>
      <c r="CO207" s="69">
        <f>INDEX(smp_ox_prof_fees,9)*INDEX(ref_scn_cost,3)</f>
        <v>5880</v>
      </c>
      <c r="CP207" s="69">
        <f>INDEX(smp_ox_prof_fees,10)*INDEX(ref_scn_cost,3)</f>
        <v>5880</v>
      </c>
      <c r="CQ207" s="69">
        <f>INDEX(smp_ox_prof_fees,11)*INDEX(ref_scn_cost,3)</f>
        <v>5880</v>
      </c>
      <c r="CR207" s="69">
        <f>INDEX(smp_ox_prof_fees,12)*INDEX(ref_scn_cost,3)</f>
        <v>5880</v>
      </c>
      <c r="CS207" s="69">
        <f>INDEX(smp_ox_prof_fees,13)*INDEX(ref_scn_cost,3)</f>
        <v>5880</v>
      </c>
      <c r="CT207" s="69">
        <f>INDEX(smp_ox_prof_fees,14)*INDEX(ref_scn_cost,3)</f>
        <v>5880</v>
      </c>
      <c r="CU207" s="69">
        <f>INDEX(smp_ox_prof_fees,15)*INDEX(ref_scn_cost,3)</f>
        <v>5880</v>
      </c>
      <c r="CV207" s="69">
        <f>INDEX(smp_ox_prof_fees,16)*INDEX(ref_scn_cost,3)</f>
        <v>5880</v>
      </c>
      <c r="CW207" s="69">
        <f>INDEX(smp_ox_prof_fees,17)*INDEX(ref_scn_cost,3)</f>
        <v>5880</v>
      </c>
      <c r="CX207" s="69">
        <f>INDEX(smp_ox_prof_fees,18)*INDEX(ref_scn_cost,3)</f>
        <v>5880</v>
      </c>
      <c r="CY207" s="69">
        <f>INDEX(smp_ox_prof_fees,19)*INDEX(ref_scn_cost,3)</f>
        <v>5880</v>
      </c>
      <c r="CZ207" s="69">
        <f>INDEX(smp_ox_prof_fees,20)*INDEX(ref_scn_cost,3)</f>
        <v>5880</v>
      </c>
      <c r="DA207" s="69">
        <f>INDEX(smp_ox_prof_fees,21)*INDEX(ref_scn_cost,3)</f>
        <v>5880</v>
      </c>
      <c r="DB207" s="69">
        <f>INDEX(smp_ox_prof_fees,22)*INDEX(ref_scn_cost,3)</f>
        <v>5880</v>
      </c>
      <c r="DC207" s="69">
        <f>INDEX(smp_ox_prof_fees,23)*INDEX(ref_scn_cost,3)</f>
        <v>5880</v>
      </c>
      <c r="DD207" s="69">
        <f>INDEX(smp_ox_prof_fees,24)*INDEX(ref_scn_cost,3)</f>
        <v>5880</v>
      </c>
      <c r="DE207" s="70">
        <f t="shared" si="117"/>
        <v>70560</v>
      </c>
      <c r="DF207" s="70">
        <f t="shared" si="118"/>
        <v>70560</v>
      </c>
      <c r="DG207"/>
      <c r="DH207"/>
    </row>
    <row r="208" spans="1:112" hidden="1" x14ac:dyDescent="0.2">
      <c r="A208" s="1"/>
      <c r="B208" s="35" t="s">
        <v>130</v>
      </c>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2"/>
      <c r="AE208" s="69">
        <f>INDEX(smp_ox_insurance,1)*INDEX(ref_scn_cost,1)</f>
        <v>4000</v>
      </c>
      <c r="AF208" s="69">
        <f>INDEX(smp_ox_insurance,2)*INDEX(ref_scn_cost,1)</f>
        <v>4000</v>
      </c>
      <c r="AG208" s="69">
        <f>INDEX(smp_ox_insurance,3)*INDEX(ref_scn_cost,1)</f>
        <v>4000</v>
      </c>
      <c r="AH208" s="69">
        <f>INDEX(smp_ox_insurance,4)*INDEX(ref_scn_cost,1)</f>
        <v>4000</v>
      </c>
      <c r="AI208" s="69">
        <f>INDEX(smp_ox_insurance,5)*INDEX(ref_scn_cost,1)</f>
        <v>4000</v>
      </c>
      <c r="AJ208" s="69">
        <f>INDEX(smp_ox_insurance,6)*INDEX(ref_scn_cost,1)</f>
        <v>4000</v>
      </c>
      <c r="AK208" s="69">
        <f>INDEX(smp_ox_insurance,7)*INDEX(ref_scn_cost,1)</f>
        <v>4000</v>
      </c>
      <c r="AL208" s="69">
        <f>INDEX(smp_ox_insurance,8)*INDEX(ref_scn_cost,1)</f>
        <v>4000</v>
      </c>
      <c r="AM208" s="69">
        <f>INDEX(smp_ox_insurance,9)*INDEX(ref_scn_cost,1)</f>
        <v>4000</v>
      </c>
      <c r="AN208" s="69">
        <f>INDEX(smp_ox_insurance,10)*INDEX(ref_scn_cost,1)</f>
        <v>4000</v>
      </c>
      <c r="AO208" s="69">
        <f>INDEX(smp_ox_insurance,11)*INDEX(ref_scn_cost,1)</f>
        <v>4000</v>
      </c>
      <c r="AP208" s="69">
        <f>INDEX(smp_ox_insurance,12)*INDEX(ref_scn_cost,1)</f>
        <v>4000</v>
      </c>
      <c r="AQ208" s="69">
        <f>INDEX(smp_ox_insurance,13)*INDEX(ref_scn_cost,1)</f>
        <v>4000</v>
      </c>
      <c r="AR208" s="69">
        <f>INDEX(smp_ox_insurance,14)*INDEX(ref_scn_cost,1)</f>
        <v>4000</v>
      </c>
      <c r="AS208" s="69">
        <f>INDEX(smp_ox_insurance,15)*INDEX(ref_scn_cost,1)</f>
        <v>4000</v>
      </c>
      <c r="AT208" s="69">
        <f>INDEX(smp_ox_insurance,16)*INDEX(ref_scn_cost,1)</f>
        <v>4000</v>
      </c>
      <c r="AU208" s="69">
        <f>INDEX(smp_ox_insurance,17)*INDEX(ref_scn_cost,1)</f>
        <v>4000</v>
      </c>
      <c r="AV208" s="69">
        <f>INDEX(smp_ox_insurance,18)*INDEX(ref_scn_cost,1)</f>
        <v>4000</v>
      </c>
      <c r="AW208" s="69">
        <f>INDEX(smp_ox_insurance,19)*INDEX(ref_scn_cost,1)</f>
        <v>4000</v>
      </c>
      <c r="AX208" s="69">
        <f>INDEX(smp_ox_insurance,20)*INDEX(ref_scn_cost,1)</f>
        <v>4000</v>
      </c>
      <c r="AY208" s="69">
        <f>INDEX(smp_ox_insurance,21)*INDEX(ref_scn_cost,1)</f>
        <v>4000</v>
      </c>
      <c r="AZ208" s="69">
        <f>INDEX(smp_ox_insurance,22)*INDEX(ref_scn_cost,1)</f>
        <v>4000</v>
      </c>
      <c r="BA208" s="69">
        <f>INDEX(smp_ox_insurance,23)*INDEX(ref_scn_cost,1)</f>
        <v>4000</v>
      </c>
      <c r="BB208" s="69">
        <f>INDEX(smp_ox_insurance,24)*INDEX(ref_scn_cost,1)</f>
        <v>4000</v>
      </c>
      <c r="BC208" s="70">
        <f t="shared" si="113"/>
        <v>48000</v>
      </c>
      <c r="BD208" s="70">
        <f t="shared" si="114"/>
        <v>48000</v>
      </c>
      <c r="BE208" s="2"/>
      <c r="BF208" s="69">
        <f>INDEX(smp_ox_insurance,1)*INDEX(ref_scn_cost,2)</f>
        <v>4200</v>
      </c>
      <c r="BG208" s="69">
        <f>INDEX(smp_ox_insurance,2)*INDEX(ref_scn_cost,2)</f>
        <v>4200</v>
      </c>
      <c r="BH208" s="69">
        <f>INDEX(smp_ox_insurance,3)*INDEX(ref_scn_cost,2)</f>
        <v>4200</v>
      </c>
      <c r="BI208" s="69">
        <f>INDEX(smp_ox_insurance,4)*INDEX(ref_scn_cost,2)</f>
        <v>4200</v>
      </c>
      <c r="BJ208" s="69">
        <f>INDEX(smp_ox_insurance,5)*INDEX(ref_scn_cost,2)</f>
        <v>4200</v>
      </c>
      <c r="BK208" s="69">
        <f>INDEX(smp_ox_insurance,6)*INDEX(ref_scn_cost,2)</f>
        <v>4200</v>
      </c>
      <c r="BL208" s="69">
        <f>INDEX(smp_ox_insurance,7)*INDEX(ref_scn_cost,2)</f>
        <v>4200</v>
      </c>
      <c r="BM208" s="69">
        <f>INDEX(smp_ox_insurance,8)*INDEX(ref_scn_cost,2)</f>
        <v>4200</v>
      </c>
      <c r="BN208" s="69">
        <f>INDEX(smp_ox_insurance,9)*INDEX(ref_scn_cost,2)</f>
        <v>4200</v>
      </c>
      <c r="BO208" s="69">
        <f>INDEX(smp_ox_insurance,10)*INDEX(ref_scn_cost,2)</f>
        <v>4200</v>
      </c>
      <c r="BP208" s="69">
        <f>INDEX(smp_ox_insurance,11)*INDEX(ref_scn_cost,2)</f>
        <v>4200</v>
      </c>
      <c r="BQ208" s="69">
        <f>INDEX(smp_ox_insurance,12)*INDEX(ref_scn_cost,2)</f>
        <v>4200</v>
      </c>
      <c r="BR208" s="69">
        <f>INDEX(smp_ox_insurance,13)*INDEX(ref_scn_cost,2)</f>
        <v>4200</v>
      </c>
      <c r="BS208" s="69">
        <f>INDEX(smp_ox_insurance,14)*INDEX(ref_scn_cost,2)</f>
        <v>4200</v>
      </c>
      <c r="BT208" s="69">
        <f>INDEX(smp_ox_insurance,15)*INDEX(ref_scn_cost,2)</f>
        <v>4200</v>
      </c>
      <c r="BU208" s="69">
        <f>INDEX(smp_ox_insurance,16)*INDEX(ref_scn_cost,2)</f>
        <v>4200</v>
      </c>
      <c r="BV208" s="69">
        <f>INDEX(smp_ox_insurance,17)*INDEX(ref_scn_cost,2)</f>
        <v>4200</v>
      </c>
      <c r="BW208" s="69">
        <f>INDEX(smp_ox_insurance,18)*INDEX(ref_scn_cost,2)</f>
        <v>4200</v>
      </c>
      <c r="BX208" s="69">
        <f>INDEX(smp_ox_insurance,19)*INDEX(ref_scn_cost,2)</f>
        <v>4200</v>
      </c>
      <c r="BY208" s="69">
        <f>INDEX(smp_ox_insurance,20)*INDEX(ref_scn_cost,2)</f>
        <v>4200</v>
      </c>
      <c r="BZ208" s="69">
        <f>INDEX(smp_ox_insurance,21)*INDEX(ref_scn_cost,2)</f>
        <v>4200</v>
      </c>
      <c r="CA208" s="69">
        <f>INDEX(smp_ox_insurance,22)*INDEX(ref_scn_cost,2)</f>
        <v>4200</v>
      </c>
      <c r="CB208" s="69">
        <f>INDEX(smp_ox_insurance,23)*INDEX(ref_scn_cost,2)</f>
        <v>4200</v>
      </c>
      <c r="CC208" s="69">
        <f>INDEX(smp_ox_insurance,24)*INDEX(ref_scn_cost,2)</f>
        <v>4200</v>
      </c>
      <c r="CD208" s="70">
        <f t="shared" si="115"/>
        <v>50400</v>
      </c>
      <c r="CE208" s="70">
        <f t="shared" si="116"/>
        <v>50400</v>
      </c>
      <c r="CF208" s="2"/>
      <c r="CG208" s="69">
        <f>INDEX(smp_ox_insurance,1)*INDEX(ref_scn_cost,3)</f>
        <v>3920</v>
      </c>
      <c r="CH208" s="69">
        <f>INDEX(smp_ox_insurance,2)*INDEX(ref_scn_cost,3)</f>
        <v>3920</v>
      </c>
      <c r="CI208" s="69">
        <f>INDEX(smp_ox_insurance,3)*INDEX(ref_scn_cost,3)</f>
        <v>3920</v>
      </c>
      <c r="CJ208" s="69">
        <f>INDEX(smp_ox_insurance,4)*INDEX(ref_scn_cost,3)</f>
        <v>3920</v>
      </c>
      <c r="CK208" s="69">
        <f>INDEX(smp_ox_insurance,5)*INDEX(ref_scn_cost,3)</f>
        <v>3920</v>
      </c>
      <c r="CL208" s="69">
        <f>INDEX(smp_ox_insurance,6)*INDEX(ref_scn_cost,3)</f>
        <v>3920</v>
      </c>
      <c r="CM208" s="69">
        <f>INDEX(smp_ox_insurance,7)*INDEX(ref_scn_cost,3)</f>
        <v>3920</v>
      </c>
      <c r="CN208" s="69">
        <f>INDEX(smp_ox_insurance,8)*INDEX(ref_scn_cost,3)</f>
        <v>3920</v>
      </c>
      <c r="CO208" s="69">
        <f>INDEX(smp_ox_insurance,9)*INDEX(ref_scn_cost,3)</f>
        <v>3920</v>
      </c>
      <c r="CP208" s="69">
        <f>INDEX(smp_ox_insurance,10)*INDEX(ref_scn_cost,3)</f>
        <v>3920</v>
      </c>
      <c r="CQ208" s="69">
        <f>INDEX(smp_ox_insurance,11)*INDEX(ref_scn_cost,3)</f>
        <v>3920</v>
      </c>
      <c r="CR208" s="69">
        <f>INDEX(smp_ox_insurance,12)*INDEX(ref_scn_cost,3)</f>
        <v>3920</v>
      </c>
      <c r="CS208" s="69">
        <f>INDEX(smp_ox_insurance,13)*INDEX(ref_scn_cost,3)</f>
        <v>3920</v>
      </c>
      <c r="CT208" s="69">
        <f>INDEX(smp_ox_insurance,14)*INDEX(ref_scn_cost,3)</f>
        <v>3920</v>
      </c>
      <c r="CU208" s="69">
        <f>INDEX(smp_ox_insurance,15)*INDEX(ref_scn_cost,3)</f>
        <v>3920</v>
      </c>
      <c r="CV208" s="69">
        <f>INDEX(smp_ox_insurance,16)*INDEX(ref_scn_cost,3)</f>
        <v>3920</v>
      </c>
      <c r="CW208" s="69">
        <f>INDEX(smp_ox_insurance,17)*INDEX(ref_scn_cost,3)</f>
        <v>3920</v>
      </c>
      <c r="CX208" s="69">
        <f>INDEX(smp_ox_insurance,18)*INDEX(ref_scn_cost,3)</f>
        <v>3920</v>
      </c>
      <c r="CY208" s="69">
        <f>INDEX(smp_ox_insurance,19)*INDEX(ref_scn_cost,3)</f>
        <v>3920</v>
      </c>
      <c r="CZ208" s="69">
        <f>INDEX(smp_ox_insurance,20)*INDEX(ref_scn_cost,3)</f>
        <v>3920</v>
      </c>
      <c r="DA208" s="69">
        <f>INDEX(smp_ox_insurance,21)*INDEX(ref_scn_cost,3)</f>
        <v>3920</v>
      </c>
      <c r="DB208" s="69">
        <f>INDEX(smp_ox_insurance,22)*INDEX(ref_scn_cost,3)</f>
        <v>3920</v>
      </c>
      <c r="DC208" s="69">
        <f>INDEX(smp_ox_insurance,23)*INDEX(ref_scn_cost,3)</f>
        <v>3920</v>
      </c>
      <c r="DD208" s="69">
        <f>INDEX(smp_ox_insurance,24)*INDEX(ref_scn_cost,3)</f>
        <v>3920</v>
      </c>
      <c r="DE208" s="70">
        <f t="shared" si="117"/>
        <v>47040</v>
      </c>
      <c r="DF208" s="70">
        <f t="shared" si="118"/>
        <v>47040</v>
      </c>
      <c r="DG208"/>
      <c r="DH208"/>
    </row>
    <row r="209" spans="1:112" hidden="1" x14ac:dyDescent="0.2">
      <c r="A209" s="1"/>
      <c r="B209" s="35" t="s">
        <v>131</v>
      </c>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2"/>
      <c r="AE209" s="69">
        <f>INDEX(smp_ox_other,1)*INDEX(ref_scn_cost,1)</f>
        <v>5000</v>
      </c>
      <c r="AF209" s="69">
        <f>INDEX(smp_ox_other,2)*INDEX(ref_scn_cost,1)</f>
        <v>5000</v>
      </c>
      <c r="AG209" s="69">
        <f>INDEX(smp_ox_other,3)*INDEX(ref_scn_cost,1)</f>
        <v>5000</v>
      </c>
      <c r="AH209" s="69">
        <f>INDEX(smp_ox_other,4)*INDEX(ref_scn_cost,1)</f>
        <v>5000</v>
      </c>
      <c r="AI209" s="69">
        <f>INDEX(smp_ox_other,5)*INDEX(ref_scn_cost,1)</f>
        <v>5000</v>
      </c>
      <c r="AJ209" s="69">
        <f>INDEX(smp_ox_other,6)*INDEX(ref_scn_cost,1)</f>
        <v>5000</v>
      </c>
      <c r="AK209" s="69">
        <f>INDEX(smp_ox_other,7)*INDEX(ref_scn_cost,1)</f>
        <v>5000</v>
      </c>
      <c r="AL209" s="69">
        <f>INDEX(smp_ox_other,8)*INDEX(ref_scn_cost,1)</f>
        <v>5000</v>
      </c>
      <c r="AM209" s="69">
        <f>INDEX(smp_ox_other,9)*INDEX(ref_scn_cost,1)</f>
        <v>5000</v>
      </c>
      <c r="AN209" s="69">
        <f>INDEX(smp_ox_other,10)*INDEX(ref_scn_cost,1)</f>
        <v>5000</v>
      </c>
      <c r="AO209" s="69">
        <f>INDEX(smp_ox_other,11)*INDEX(ref_scn_cost,1)</f>
        <v>5000</v>
      </c>
      <c r="AP209" s="69">
        <f>INDEX(smp_ox_other,12)*INDEX(ref_scn_cost,1)</f>
        <v>5000</v>
      </c>
      <c r="AQ209" s="69">
        <f>INDEX(smp_ox_other,13)*INDEX(ref_scn_cost,1)</f>
        <v>5000</v>
      </c>
      <c r="AR209" s="69">
        <f>INDEX(smp_ox_other,14)*INDEX(ref_scn_cost,1)</f>
        <v>5000</v>
      </c>
      <c r="AS209" s="69">
        <f>INDEX(smp_ox_other,15)*INDEX(ref_scn_cost,1)</f>
        <v>5000</v>
      </c>
      <c r="AT209" s="69">
        <f>INDEX(smp_ox_other,16)*INDEX(ref_scn_cost,1)</f>
        <v>5000</v>
      </c>
      <c r="AU209" s="69">
        <f>INDEX(smp_ox_other,17)*INDEX(ref_scn_cost,1)</f>
        <v>5000</v>
      </c>
      <c r="AV209" s="69">
        <f>INDEX(smp_ox_other,18)*INDEX(ref_scn_cost,1)</f>
        <v>5000</v>
      </c>
      <c r="AW209" s="69">
        <f>INDEX(smp_ox_other,19)*INDEX(ref_scn_cost,1)</f>
        <v>5000</v>
      </c>
      <c r="AX209" s="69">
        <f>INDEX(smp_ox_other,20)*INDEX(ref_scn_cost,1)</f>
        <v>5000</v>
      </c>
      <c r="AY209" s="69">
        <f>INDEX(smp_ox_other,21)*INDEX(ref_scn_cost,1)</f>
        <v>5000</v>
      </c>
      <c r="AZ209" s="69">
        <f>INDEX(smp_ox_other,22)*INDEX(ref_scn_cost,1)</f>
        <v>5000</v>
      </c>
      <c r="BA209" s="69">
        <f>INDEX(smp_ox_other,23)*INDEX(ref_scn_cost,1)</f>
        <v>5000</v>
      </c>
      <c r="BB209" s="69">
        <f>INDEX(smp_ox_other,24)*INDEX(ref_scn_cost,1)</f>
        <v>5000</v>
      </c>
      <c r="BC209" s="70">
        <f t="shared" si="113"/>
        <v>60000</v>
      </c>
      <c r="BD209" s="70">
        <f t="shared" si="114"/>
        <v>60000</v>
      </c>
      <c r="BE209" s="2"/>
      <c r="BF209" s="69">
        <f>INDEX(smp_ox_other,1)*INDEX(ref_scn_cost,2)</f>
        <v>5250</v>
      </c>
      <c r="BG209" s="69">
        <f>INDEX(smp_ox_other,2)*INDEX(ref_scn_cost,2)</f>
        <v>5250</v>
      </c>
      <c r="BH209" s="69">
        <f>INDEX(smp_ox_other,3)*INDEX(ref_scn_cost,2)</f>
        <v>5250</v>
      </c>
      <c r="BI209" s="69">
        <f>INDEX(smp_ox_other,4)*INDEX(ref_scn_cost,2)</f>
        <v>5250</v>
      </c>
      <c r="BJ209" s="69">
        <f>INDEX(smp_ox_other,5)*INDEX(ref_scn_cost,2)</f>
        <v>5250</v>
      </c>
      <c r="BK209" s="69">
        <f>INDEX(smp_ox_other,6)*INDEX(ref_scn_cost,2)</f>
        <v>5250</v>
      </c>
      <c r="BL209" s="69">
        <f>INDEX(smp_ox_other,7)*INDEX(ref_scn_cost,2)</f>
        <v>5250</v>
      </c>
      <c r="BM209" s="69">
        <f>INDEX(smp_ox_other,8)*INDEX(ref_scn_cost,2)</f>
        <v>5250</v>
      </c>
      <c r="BN209" s="69">
        <f>INDEX(smp_ox_other,9)*INDEX(ref_scn_cost,2)</f>
        <v>5250</v>
      </c>
      <c r="BO209" s="69">
        <f>INDEX(smp_ox_other,10)*INDEX(ref_scn_cost,2)</f>
        <v>5250</v>
      </c>
      <c r="BP209" s="69">
        <f>INDEX(smp_ox_other,11)*INDEX(ref_scn_cost,2)</f>
        <v>5250</v>
      </c>
      <c r="BQ209" s="69">
        <f>INDEX(smp_ox_other,12)*INDEX(ref_scn_cost,2)</f>
        <v>5250</v>
      </c>
      <c r="BR209" s="69">
        <f>INDEX(smp_ox_other,13)*INDEX(ref_scn_cost,2)</f>
        <v>5250</v>
      </c>
      <c r="BS209" s="69">
        <f>INDEX(smp_ox_other,14)*INDEX(ref_scn_cost,2)</f>
        <v>5250</v>
      </c>
      <c r="BT209" s="69">
        <f>INDEX(smp_ox_other,15)*INDEX(ref_scn_cost,2)</f>
        <v>5250</v>
      </c>
      <c r="BU209" s="69">
        <f>INDEX(smp_ox_other,16)*INDEX(ref_scn_cost,2)</f>
        <v>5250</v>
      </c>
      <c r="BV209" s="69">
        <f>INDEX(smp_ox_other,17)*INDEX(ref_scn_cost,2)</f>
        <v>5250</v>
      </c>
      <c r="BW209" s="69">
        <f>INDEX(smp_ox_other,18)*INDEX(ref_scn_cost,2)</f>
        <v>5250</v>
      </c>
      <c r="BX209" s="69">
        <f>INDEX(smp_ox_other,19)*INDEX(ref_scn_cost,2)</f>
        <v>5250</v>
      </c>
      <c r="BY209" s="69">
        <f>INDEX(smp_ox_other,20)*INDEX(ref_scn_cost,2)</f>
        <v>5250</v>
      </c>
      <c r="BZ209" s="69">
        <f>INDEX(smp_ox_other,21)*INDEX(ref_scn_cost,2)</f>
        <v>5250</v>
      </c>
      <c r="CA209" s="69">
        <f>INDEX(smp_ox_other,22)*INDEX(ref_scn_cost,2)</f>
        <v>5250</v>
      </c>
      <c r="CB209" s="69">
        <f>INDEX(smp_ox_other,23)*INDEX(ref_scn_cost,2)</f>
        <v>5250</v>
      </c>
      <c r="CC209" s="69">
        <f>INDEX(smp_ox_other,24)*INDEX(ref_scn_cost,2)</f>
        <v>5250</v>
      </c>
      <c r="CD209" s="70">
        <f t="shared" si="115"/>
        <v>63000</v>
      </c>
      <c r="CE209" s="70">
        <f t="shared" si="116"/>
        <v>63000</v>
      </c>
      <c r="CF209" s="2"/>
      <c r="CG209" s="69">
        <f>INDEX(smp_ox_other,1)*INDEX(ref_scn_cost,3)</f>
        <v>4900</v>
      </c>
      <c r="CH209" s="69">
        <f>INDEX(smp_ox_other,2)*INDEX(ref_scn_cost,3)</f>
        <v>4900</v>
      </c>
      <c r="CI209" s="69">
        <f>INDEX(smp_ox_other,3)*INDEX(ref_scn_cost,3)</f>
        <v>4900</v>
      </c>
      <c r="CJ209" s="69">
        <f>INDEX(smp_ox_other,4)*INDEX(ref_scn_cost,3)</f>
        <v>4900</v>
      </c>
      <c r="CK209" s="69">
        <f>INDEX(smp_ox_other,5)*INDEX(ref_scn_cost,3)</f>
        <v>4900</v>
      </c>
      <c r="CL209" s="69">
        <f>INDEX(smp_ox_other,6)*INDEX(ref_scn_cost,3)</f>
        <v>4900</v>
      </c>
      <c r="CM209" s="69">
        <f>INDEX(smp_ox_other,7)*INDEX(ref_scn_cost,3)</f>
        <v>4900</v>
      </c>
      <c r="CN209" s="69">
        <f>INDEX(smp_ox_other,8)*INDEX(ref_scn_cost,3)</f>
        <v>4900</v>
      </c>
      <c r="CO209" s="69">
        <f>INDEX(smp_ox_other,9)*INDEX(ref_scn_cost,3)</f>
        <v>4900</v>
      </c>
      <c r="CP209" s="69">
        <f>INDEX(smp_ox_other,10)*INDEX(ref_scn_cost,3)</f>
        <v>4900</v>
      </c>
      <c r="CQ209" s="69">
        <f>INDEX(smp_ox_other,11)*INDEX(ref_scn_cost,3)</f>
        <v>4900</v>
      </c>
      <c r="CR209" s="69">
        <f>INDEX(smp_ox_other,12)*INDEX(ref_scn_cost,3)</f>
        <v>4900</v>
      </c>
      <c r="CS209" s="69">
        <f>INDEX(smp_ox_other,13)*INDEX(ref_scn_cost,3)</f>
        <v>4900</v>
      </c>
      <c r="CT209" s="69">
        <f>INDEX(smp_ox_other,14)*INDEX(ref_scn_cost,3)</f>
        <v>4900</v>
      </c>
      <c r="CU209" s="69">
        <f>INDEX(smp_ox_other,15)*INDEX(ref_scn_cost,3)</f>
        <v>4900</v>
      </c>
      <c r="CV209" s="69">
        <f>INDEX(smp_ox_other,16)*INDEX(ref_scn_cost,3)</f>
        <v>4900</v>
      </c>
      <c r="CW209" s="69">
        <f>INDEX(smp_ox_other,17)*INDEX(ref_scn_cost,3)</f>
        <v>4900</v>
      </c>
      <c r="CX209" s="69">
        <f>INDEX(smp_ox_other,18)*INDEX(ref_scn_cost,3)</f>
        <v>4900</v>
      </c>
      <c r="CY209" s="69">
        <f>INDEX(smp_ox_other,19)*INDEX(ref_scn_cost,3)</f>
        <v>4900</v>
      </c>
      <c r="CZ209" s="69">
        <f>INDEX(smp_ox_other,20)*INDEX(ref_scn_cost,3)</f>
        <v>4900</v>
      </c>
      <c r="DA209" s="69">
        <f>INDEX(smp_ox_other,21)*INDEX(ref_scn_cost,3)</f>
        <v>4900</v>
      </c>
      <c r="DB209" s="69">
        <f>INDEX(smp_ox_other,22)*INDEX(ref_scn_cost,3)</f>
        <v>4900</v>
      </c>
      <c r="DC209" s="69">
        <f>INDEX(smp_ox_other,23)*INDEX(ref_scn_cost,3)</f>
        <v>4900</v>
      </c>
      <c r="DD209" s="69">
        <f>INDEX(smp_ox_other,24)*INDEX(ref_scn_cost,3)</f>
        <v>4900</v>
      </c>
      <c r="DE209" s="70">
        <f t="shared" si="117"/>
        <v>58800</v>
      </c>
      <c r="DF209" s="70">
        <f t="shared" si="118"/>
        <v>58800</v>
      </c>
      <c r="DG209"/>
      <c r="DH209"/>
    </row>
    <row r="210" spans="1:112" hidden="1" x14ac:dyDescent="0.2">
      <c r="A210" s="1"/>
      <c r="B210" s="35" t="s">
        <v>132</v>
      </c>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2"/>
      <c r="AE210" s="70">
        <f t="shared" ref="AE210:BB210" si="119">AE203+AE204+AE205+AE206+AE207+AE208+AE209</f>
        <v>141083.33333333331</v>
      </c>
      <c r="AF210" s="70">
        <f t="shared" si="119"/>
        <v>141083.33333333331</v>
      </c>
      <c r="AG210" s="70">
        <f t="shared" si="119"/>
        <v>141083.33333333331</v>
      </c>
      <c r="AH210" s="70">
        <f t="shared" si="119"/>
        <v>141083.33333333331</v>
      </c>
      <c r="AI210" s="70">
        <f t="shared" si="119"/>
        <v>141083.33333333331</v>
      </c>
      <c r="AJ210" s="70">
        <f t="shared" si="119"/>
        <v>141083.33333333331</v>
      </c>
      <c r="AK210" s="70">
        <f t="shared" si="119"/>
        <v>141083.33333333331</v>
      </c>
      <c r="AL210" s="70">
        <f t="shared" si="119"/>
        <v>141083.33333333331</v>
      </c>
      <c r="AM210" s="70">
        <f t="shared" si="119"/>
        <v>141083.33333333331</v>
      </c>
      <c r="AN210" s="70">
        <f t="shared" si="119"/>
        <v>141083.33333333331</v>
      </c>
      <c r="AO210" s="70">
        <f t="shared" si="119"/>
        <v>141083.33333333331</v>
      </c>
      <c r="AP210" s="70">
        <f t="shared" si="119"/>
        <v>141083.33333333331</v>
      </c>
      <c r="AQ210" s="70">
        <f t="shared" si="119"/>
        <v>141083.33333333331</v>
      </c>
      <c r="AR210" s="70">
        <f t="shared" si="119"/>
        <v>141083.33333333331</v>
      </c>
      <c r="AS210" s="70">
        <f t="shared" si="119"/>
        <v>141083.33333333331</v>
      </c>
      <c r="AT210" s="70">
        <f t="shared" si="119"/>
        <v>141083.33333333331</v>
      </c>
      <c r="AU210" s="70">
        <f t="shared" si="119"/>
        <v>141083.33333333331</v>
      </c>
      <c r="AV210" s="70">
        <f t="shared" si="119"/>
        <v>141083.33333333331</v>
      </c>
      <c r="AW210" s="70">
        <f t="shared" si="119"/>
        <v>141083.33333333331</v>
      </c>
      <c r="AX210" s="70">
        <f t="shared" si="119"/>
        <v>141083.33333333331</v>
      </c>
      <c r="AY210" s="70">
        <f t="shared" si="119"/>
        <v>141083.33333333331</v>
      </c>
      <c r="AZ210" s="70">
        <f t="shared" si="119"/>
        <v>141083.33333333331</v>
      </c>
      <c r="BA210" s="70">
        <f t="shared" si="119"/>
        <v>141083.33333333331</v>
      </c>
      <c r="BB210" s="70">
        <f t="shared" si="119"/>
        <v>141083.33333333331</v>
      </c>
      <c r="BC210" s="70">
        <f t="shared" si="113"/>
        <v>1692999.9999999993</v>
      </c>
      <c r="BD210" s="70">
        <f t="shared" si="114"/>
        <v>1692999.9999999993</v>
      </c>
      <c r="BE210" s="2"/>
      <c r="BF210" s="70">
        <f t="shared" ref="BF210:CC210" si="120">BF203+BF204+BF205+BF206+BF207+BF208+BF209</f>
        <v>148137.5</v>
      </c>
      <c r="BG210" s="70">
        <f t="shared" si="120"/>
        <v>148137.5</v>
      </c>
      <c r="BH210" s="70">
        <f t="shared" si="120"/>
        <v>148137.5</v>
      </c>
      <c r="BI210" s="70">
        <f t="shared" si="120"/>
        <v>148137.5</v>
      </c>
      <c r="BJ210" s="70">
        <f t="shared" si="120"/>
        <v>148137.5</v>
      </c>
      <c r="BK210" s="70">
        <f t="shared" si="120"/>
        <v>148137.5</v>
      </c>
      <c r="BL210" s="70">
        <f t="shared" si="120"/>
        <v>148137.5</v>
      </c>
      <c r="BM210" s="70">
        <f t="shared" si="120"/>
        <v>148137.5</v>
      </c>
      <c r="BN210" s="70">
        <f t="shared" si="120"/>
        <v>148137.5</v>
      </c>
      <c r="BO210" s="70">
        <f t="shared" si="120"/>
        <v>148137.5</v>
      </c>
      <c r="BP210" s="70">
        <f t="shared" si="120"/>
        <v>148137.5</v>
      </c>
      <c r="BQ210" s="70">
        <f t="shared" si="120"/>
        <v>148137.5</v>
      </c>
      <c r="BR210" s="70">
        <f t="shared" si="120"/>
        <v>148137.5</v>
      </c>
      <c r="BS210" s="70">
        <f t="shared" si="120"/>
        <v>148137.5</v>
      </c>
      <c r="BT210" s="70">
        <f t="shared" si="120"/>
        <v>148137.5</v>
      </c>
      <c r="BU210" s="70">
        <f t="shared" si="120"/>
        <v>148137.5</v>
      </c>
      <c r="BV210" s="70">
        <f t="shared" si="120"/>
        <v>148137.5</v>
      </c>
      <c r="BW210" s="70">
        <f t="shared" si="120"/>
        <v>148137.5</v>
      </c>
      <c r="BX210" s="70">
        <f t="shared" si="120"/>
        <v>148137.5</v>
      </c>
      <c r="BY210" s="70">
        <f t="shared" si="120"/>
        <v>148137.5</v>
      </c>
      <c r="BZ210" s="70">
        <f t="shared" si="120"/>
        <v>148137.5</v>
      </c>
      <c r="CA210" s="70">
        <f t="shared" si="120"/>
        <v>148137.5</v>
      </c>
      <c r="CB210" s="70">
        <f t="shared" si="120"/>
        <v>148137.5</v>
      </c>
      <c r="CC210" s="70">
        <f t="shared" si="120"/>
        <v>148137.5</v>
      </c>
      <c r="CD210" s="70">
        <f t="shared" si="115"/>
        <v>1777650</v>
      </c>
      <c r="CE210" s="70">
        <f t="shared" si="116"/>
        <v>1777650</v>
      </c>
      <c r="CF210" s="2"/>
      <c r="CG210" s="70">
        <f t="shared" ref="CG210:DD210" si="121">CG203+CG204+CG205+CG206+CG207+CG208+CG209</f>
        <v>138261.66666666666</v>
      </c>
      <c r="CH210" s="70">
        <f t="shared" si="121"/>
        <v>138261.66666666666</v>
      </c>
      <c r="CI210" s="70">
        <f t="shared" si="121"/>
        <v>138261.66666666666</v>
      </c>
      <c r="CJ210" s="70">
        <f t="shared" si="121"/>
        <v>138261.66666666666</v>
      </c>
      <c r="CK210" s="70">
        <f t="shared" si="121"/>
        <v>138261.66666666666</v>
      </c>
      <c r="CL210" s="70">
        <f t="shared" si="121"/>
        <v>138261.66666666666</v>
      </c>
      <c r="CM210" s="70">
        <f t="shared" si="121"/>
        <v>138261.66666666666</v>
      </c>
      <c r="CN210" s="70">
        <f t="shared" si="121"/>
        <v>138261.66666666666</v>
      </c>
      <c r="CO210" s="70">
        <f t="shared" si="121"/>
        <v>138261.66666666666</v>
      </c>
      <c r="CP210" s="70">
        <f t="shared" si="121"/>
        <v>138261.66666666666</v>
      </c>
      <c r="CQ210" s="70">
        <f t="shared" si="121"/>
        <v>138261.66666666666</v>
      </c>
      <c r="CR210" s="70">
        <f t="shared" si="121"/>
        <v>138261.66666666666</v>
      </c>
      <c r="CS210" s="70">
        <f t="shared" si="121"/>
        <v>138261.66666666666</v>
      </c>
      <c r="CT210" s="70">
        <f t="shared" si="121"/>
        <v>138261.66666666666</v>
      </c>
      <c r="CU210" s="70">
        <f t="shared" si="121"/>
        <v>138261.66666666666</v>
      </c>
      <c r="CV210" s="70">
        <f t="shared" si="121"/>
        <v>138261.66666666666</v>
      </c>
      <c r="CW210" s="70">
        <f t="shared" si="121"/>
        <v>138261.66666666666</v>
      </c>
      <c r="CX210" s="70">
        <f t="shared" si="121"/>
        <v>138261.66666666666</v>
      </c>
      <c r="CY210" s="70">
        <f t="shared" si="121"/>
        <v>138261.66666666666</v>
      </c>
      <c r="CZ210" s="70">
        <f t="shared" si="121"/>
        <v>138261.66666666666</v>
      </c>
      <c r="DA210" s="70">
        <f t="shared" si="121"/>
        <v>138261.66666666666</v>
      </c>
      <c r="DB210" s="70">
        <f t="shared" si="121"/>
        <v>138261.66666666666</v>
      </c>
      <c r="DC210" s="70">
        <f t="shared" si="121"/>
        <v>138261.66666666666</v>
      </c>
      <c r="DD210" s="70">
        <f t="shared" si="121"/>
        <v>138261.66666666666</v>
      </c>
      <c r="DE210" s="70">
        <f t="shared" si="117"/>
        <v>1659140.0000000002</v>
      </c>
      <c r="DF210" s="70">
        <f t="shared" si="118"/>
        <v>1659140.0000000002</v>
      </c>
      <c r="DG210"/>
      <c r="DH210"/>
    </row>
    <row r="211" spans="1:112" hidden="1" x14ac:dyDescent="0.2">
      <c r="A211" s="1"/>
      <c r="B211" s="35" t="s">
        <v>133</v>
      </c>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2"/>
      <c r="AE211" s="70">
        <f t="shared" ref="AE211:BB211" si="122">AE201-AE210</f>
        <v>27066.666666666686</v>
      </c>
      <c r="AF211" s="70">
        <f t="shared" si="122"/>
        <v>35966.666666666686</v>
      </c>
      <c r="AG211" s="70">
        <f t="shared" si="122"/>
        <v>46146.666666666686</v>
      </c>
      <c r="AH211" s="70">
        <f t="shared" si="122"/>
        <v>55606.666666666686</v>
      </c>
      <c r="AI211" s="70">
        <f t="shared" si="122"/>
        <v>64386.666666666686</v>
      </c>
      <c r="AJ211" s="70">
        <f t="shared" si="122"/>
        <v>62206.666666666686</v>
      </c>
      <c r="AK211" s="70">
        <f t="shared" si="122"/>
        <v>59346.666666666686</v>
      </c>
      <c r="AL211" s="70">
        <f t="shared" si="122"/>
        <v>59876.666666666686</v>
      </c>
      <c r="AM211" s="70">
        <f t="shared" si="122"/>
        <v>69336.666666666686</v>
      </c>
      <c r="AN211" s="70">
        <f t="shared" si="122"/>
        <v>78156.666666666686</v>
      </c>
      <c r="AO211" s="70">
        <f t="shared" si="122"/>
        <v>84906.666666666686</v>
      </c>
      <c r="AP211" s="70">
        <f t="shared" si="122"/>
        <v>86116.666666666686</v>
      </c>
      <c r="AQ211" s="70">
        <f t="shared" si="122"/>
        <v>86376.666666666686</v>
      </c>
      <c r="AR211" s="70">
        <f t="shared" si="122"/>
        <v>94516.666666666686</v>
      </c>
      <c r="AS211" s="70">
        <f t="shared" si="122"/>
        <v>102656.66666666669</v>
      </c>
      <c r="AT211" s="70">
        <f t="shared" si="122"/>
        <v>112116.66666666669</v>
      </c>
      <c r="AU211" s="70">
        <f t="shared" si="122"/>
        <v>118826.66666666669</v>
      </c>
      <c r="AV211" s="70">
        <f t="shared" si="122"/>
        <v>118716.66666666669</v>
      </c>
      <c r="AW211" s="70">
        <f t="shared" si="122"/>
        <v>115856.66666666669</v>
      </c>
      <c r="AX211" s="70">
        <f t="shared" si="122"/>
        <v>117066.66666666669</v>
      </c>
      <c r="AY211" s="70">
        <f t="shared" si="122"/>
        <v>122566.66666666669</v>
      </c>
      <c r="AZ211" s="70">
        <f t="shared" si="122"/>
        <v>128066.66666666669</v>
      </c>
      <c r="BA211" s="70">
        <f t="shared" si="122"/>
        <v>130816.66666666669</v>
      </c>
      <c r="BB211" s="70">
        <f t="shared" si="122"/>
        <v>128066.66666666669</v>
      </c>
      <c r="BC211" s="70">
        <f t="shared" si="113"/>
        <v>729120.00000000023</v>
      </c>
      <c r="BD211" s="70">
        <f t="shared" si="114"/>
        <v>1375650.0000000005</v>
      </c>
      <c r="BE211" s="2"/>
      <c r="BF211" s="70">
        <f t="shared" ref="BF211:CC211" si="123">BF201-BF210</f>
        <v>-18639.875</v>
      </c>
      <c r="BG211" s="70">
        <f t="shared" si="123"/>
        <v>-11334.125</v>
      </c>
      <c r="BH211" s="70">
        <f t="shared" si="123"/>
        <v>-2970.9750000000058</v>
      </c>
      <c r="BI211" s="70">
        <f t="shared" si="123"/>
        <v>4792.0750000000116</v>
      </c>
      <c r="BJ211" s="70">
        <f t="shared" si="123"/>
        <v>11990.725000000006</v>
      </c>
      <c r="BK211" s="70">
        <f t="shared" si="123"/>
        <v>10257.575000000012</v>
      </c>
      <c r="BL211" s="70">
        <f t="shared" si="123"/>
        <v>7960.0249999999942</v>
      </c>
      <c r="BM211" s="70">
        <f t="shared" si="123"/>
        <v>8433.0499999999884</v>
      </c>
      <c r="BN211" s="70">
        <f t="shared" si="123"/>
        <v>16196.100000000006</v>
      </c>
      <c r="BO211" s="70">
        <f t="shared" si="123"/>
        <v>23430.450000000012</v>
      </c>
      <c r="BP211" s="70">
        <f t="shared" si="123"/>
        <v>28987.324999999983</v>
      </c>
      <c r="BQ211" s="70">
        <f t="shared" si="123"/>
        <v>30024.75</v>
      </c>
      <c r="BR211" s="70">
        <f t="shared" si="123"/>
        <v>30214.299999999988</v>
      </c>
      <c r="BS211" s="70">
        <f t="shared" si="123"/>
        <v>36884.25</v>
      </c>
      <c r="BT211" s="70">
        <f t="shared" si="123"/>
        <v>43554.199999999983</v>
      </c>
      <c r="BU211" s="70">
        <f t="shared" si="123"/>
        <v>51317.25</v>
      </c>
      <c r="BV211" s="70">
        <f t="shared" si="123"/>
        <v>56838.424999999988</v>
      </c>
      <c r="BW211" s="70">
        <f t="shared" si="123"/>
        <v>56782.75</v>
      </c>
      <c r="BX211" s="70">
        <f t="shared" si="123"/>
        <v>54485.199999999983</v>
      </c>
      <c r="BY211" s="70">
        <f t="shared" si="123"/>
        <v>55522.625</v>
      </c>
      <c r="BZ211" s="70">
        <f t="shared" si="123"/>
        <v>60006.375</v>
      </c>
      <c r="CA211" s="70">
        <f t="shared" si="123"/>
        <v>64490.125</v>
      </c>
      <c r="CB211" s="70">
        <f t="shared" si="123"/>
        <v>66732</v>
      </c>
      <c r="CC211" s="70">
        <f t="shared" si="123"/>
        <v>64490.125</v>
      </c>
      <c r="CD211" s="70">
        <f t="shared" si="115"/>
        <v>109127.1</v>
      </c>
      <c r="CE211" s="70">
        <f t="shared" si="116"/>
        <v>641317.62499999988</v>
      </c>
      <c r="CF211" s="2"/>
      <c r="CG211" s="70">
        <f t="shared" ref="CG211:DD211" si="124">CG201-CG210</f>
        <v>54207.033333333326</v>
      </c>
      <c r="CH211" s="70">
        <f t="shared" si="124"/>
        <v>64131.233333333337</v>
      </c>
      <c r="CI211" s="70">
        <f t="shared" si="124"/>
        <v>75479.273333333316</v>
      </c>
      <c r="CJ211" s="70">
        <f t="shared" si="124"/>
        <v>86029.153333333379</v>
      </c>
      <c r="CK211" s="70">
        <f t="shared" si="124"/>
        <v>95823.993333333376</v>
      </c>
      <c r="CL211" s="70">
        <f t="shared" si="124"/>
        <v>93363.953333333367</v>
      </c>
      <c r="CM211" s="70">
        <f t="shared" si="124"/>
        <v>90148.873333333351</v>
      </c>
      <c r="CN211" s="70">
        <f t="shared" si="124"/>
        <v>90720.213333333319</v>
      </c>
      <c r="CO211" s="70">
        <f t="shared" si="124"/>
        <v>101270.09333333338</v>
      </c>
      <c r="CP211" s="70">
        <f t="shared" si="124"/>
        <v>111108.05333333337</v>
      </c>
      <c r="CQ211" s="70">
        <f t="shared" si="124"/>
        <v>118626.55333333337</v>
      </c>
      <c r="CR211" s="70">
        <f t="shared" si="124"/>
        <v>119952.93333333338</v>
      </c>
      <c r="CS211" s="70">
        <f t="shared" si="124"/>
        <v>120255.21333333338</v>
      </c>
      <c r="CT211" s="70">
        <f t="shared" si="124"/>
        <v>129338.13333333333</v>
      </c>
      <c r="CU211" s="70">
        <f t="shared" si="124"/>
        <v>138421.05333333332</v>
      </c>
      <c r="CV211" s="70">
        <f t="shared" si="124"/>
        <v>148970.93333333332</v>
      </c>
      <c r="CW211" s="70">
        <f t="shared" si="124"/>
        <v>156446.31333333332</v>
      </c>
      <c r="CX211" s="70">
        <f t="shared" si="124"/>
        <v>156305.73333333331</v>
      </c>
      <c r="CY211" s="70">
        <f t="shared" si="124"/>
        <v>153090.65333333329</v>
      </c>
      <c r="CZ211" s="70">
        <f t="shared" si="124"/>
        <v>154417.0333333333</v>
      </c>
      <c r="DA211" s="70">
        <f t="shared" si="124"/>
        <v>160566.0333333333</v>
      </c>
      <c r="DB211" s="70">
        <f t="shared" si="124"/>
        <v>166715.0333333333</v>
      </c>
      <c r="DC211" s="70">
        <f t="shared" si="124"/>
        <v>169789.5333333333</v>
      </c>
      <c r="DD211" s="70">
        <f t="shared" si="124"/>
        <v>166715.0333333333</v>
      </c>
      <c r="DE211" s="70">
        <f t="shared" si="117"/>
        <v>1100861.3600000003</v>
      </c>
      <c r="DF211" s="70">
        <f t="shared" si="118"/>
        <v>1821030.6999999995</v>
      </c>
      <c r="DG211"/>
      <c r="DH211"/>
    </row>
    <row r="212" spans="1:112" hidden="1" x14ac:dyDescent="0.2">
      <c r="A212" s="1"/>
      <c r="B212" s="35" t="s">
        <v>134</v>
      </c>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2"/>
      <c r="AE212" s="32">
        <f t="shared" ref="AE212:BB212" si="125">IFERROR(AE211/AE190,0)</f>
        <v>7.5185185185185244E-2</v>
      </c>
      <c r="AF212" s="32">
        <f t="shared" si="125"/>
        <v>9.5911111111111169E-2</v>
      </c>
      <c r="AG212" s="32">
        <f t="shared" si="125"/>
        <v>0.1177210884353742</v>
      </c>
      <c r="AH212" s="32">
        <f t="shared" si="125"/>
        <v>0.13629084967320265</v>
      </c>
      <c r="AI212" s="32">
        <f t="shared" si="125"/>
        <v>0.1522143420015761</v>
      </c>
      <c r="AJ212" s="32">
        <f t="shared" si="125"/>
        <v>0.1488197767145136</v>
      </c>
      <c r="AK212" s="32">
        <f t="shared" si="125"/>
        <v>0.14404530744336574</v>
      </c>
      <c r="AL212" s="32">
        <f t="shared" si="125"/>
        <v>0.14533171521035604</v>
      </c>
      <c r="AM212" s="32">
        <f t="shared" si="125"/>
        <v>0.16200155763239879</v>
      </c>
      <c r="AN212" s="32">
        <f t="shared" si="125"/>
        <v>0.1764258841234011</v>
      </c>
      <c r="AO212" s="32">
        <f t="shared" si="125"/>
        <v>0.18701908957415569</v>
      </c>
      <c r="AP212" s="32">
        <f t="shared" si="125"/>
        <v>0.1892673992673993</v>
      </c>
      <c r="AQ212" s="32">
        <f t="shared" si="125"/>
        <v>0.18942251461988308</v>
      </c>
      <c r="AR212" s="32">
        <f t="shared" si="125"/>
        <v>0.20109929078014188</v>
      </c>
      <c r="AS212" s="32">
        <f t="shared" si="125"/>
        <v>0.21210055096418737</v>
      </c>
      <c r="AT212" s="32">
        <f t="shared" si="125"/>
        <v>0.22423333333333337</v>
      </c>
      <c r="AU212" s="32">
        <f t="shared" si="125"/>
        <v>0.23253750815394655</v>
      </c>
      <c r="AV212" s="32">
        <f t="shared" si="125"/>
        <v>0.23277777777777781</v>
      </c>
      <c r="AW212" s="32">
        <f t="shared" si="125"/>
        <v>0.22987433862433868</v>
      </c>
      <c r="AX212" s="32">
        <f t="shared" si="125"/>
        <v>0.23181518151815186</v>
      </c>
      <c r="AY212" s="32">
        <f t="shared" si="125"/>
        <v>0.23799352750809066</v>
      </c>
      <c r="AZ212" s="32">
        <f t="shared" si="125"/>
        <v>0.24393650793650798</v>
      </c>
      <c r="BA212" s="32">
        <f t="shared" si="125"/>
        <v>0.24682389937106922</v>
      </c>
      <c r="BB212" s="32">
        <f t="shared" si="125"/>
        <v>0.24393650793650798</v>
      </c>
      <c r="BC212" s="76">
        <f>IFERROR(SUM(AE211:AP211)/SUM(AE190:AP190),0)</f>
        <v>0.1464096385542169</v>
      </c>
      <c r="BD212" s="76">
        <f>IFERROR(SUM(AQ211:BB211)/SUM(AQ190:BB190),0)</f>
        <v>0.22794531897265957</v>
      </c>
      <c r="BE212" s="2"/>
      <c r="BF212" s="32">
        <f t="shared" ref="BF212:CC212" si="126">IFERROR(BF211/BF190,0)</f>
        <v>-6.0914624183006534E-2</v>
      </c>
      <c r="BG212" s="32">
        <f t="shared" si="126"/>
        <v>-3.5558039215686274E-2</v>
      </c>
      <c r="BH212" s="32">
        <f t="shared" si="126"/>
        <v>-8.9164915966386728E-3</v>
      </c>
      <c r="BI212" s="32">
        <f t="shared" si="126"/>
        <v>1.3817978662053089E-2</v>
      </c>
      <c r="BJ212" s="32">
        <f t="shared" si="126"/>
        <v>3.3349256014462536E-2</v>
      </c>
      <c r="BK212" s="32">
        <f t="shared" si="126"/>
        <v>2.8870180129468088E-2</v>
      </c>
      <c r="BL212" s="32">
        <f t="shared" si="126"/>
        <v>2.2729940034266118E-2</v>
      </c>
      <c r="BM212" s="32">
        <f t="shared" si="126"/>
        <v>2.4080668189605907E-2</v>
      </c>
      <c r="BN212" s="32">
        <f t="shared" si="126"/>
        <v>4.4519241341396384E-2</v>
      </c>
      <c r="BO212" s="32">
        <f t="shared" si="126"/>
        <v>6.2224007435931511E-2</v>
      </c>
      <c r="BP212" s="32">
        <f t="shared" si="126"/>
        <v>7.5116157035501382E-2</v>
      </c>
      <c r="BQ212" s="32">
        <f t="shared" si="126"/>
        <v>7.7633484162895922E-2</v>
      </c>
      <c r="BR212" s="32">
        <f t="shared" si="126"/>
        <v>7.7952270381836913E-2</v>
      </c>
      <c r="BS212" s="32">
        <f t="shared" si="126"/>
        <v>9.232603254067584E-2</v>
      </c>
      <c r="BT212" s="32">
        <f t="shared" si="126"/>
        <v>0.10586825473991245</v>
      </c>
      <c r="BU212" s="32">
        <f t="shared" si="126"/>
        <v>0.12074647058823529</v>
      </c>
      <c r="BV212" s="32">
        <f t="shared" si="126"/>
        <v>0.13085858178887991</v>
      </c>
      <c r="BW212" s="32">
        <f t="shared" si="126"/>
        <v>0.13098673587081891</v>
      </c>
      <c r="BX212" s="32">
        <f t="shared" si="126"/>
        <v>0.12718300653594766</v>
      </c>
      <c r="BY212" s="32">
        <f t="shared" si="126"/>
        <v>0.12934799068142108</v>
      </c>
      <c r="BZ212" s="32">
        <f t="shared" si="126"/>
        <v>0.13707909765848086</v>
      </c>
      <c r="CA212" s="32">
        <f t="shared" si="126"/>
        <v>0.14451568627450981</v>
      </c>
      <c r="CB212" s="32">
        <f t="shared" si="126"/>
        <v>0.14812874583795782</v>
      </c>
      <c r="CC212" s="32">
        <f t="shared" si="126"/>
        <v>0.14451568627450981</v>
      </c>
      <c r="CD212" s="76">
        <f>IFERROR(SUM(BF211:BQ211)/SUM(BF190:BQ190),0)</f>
        <v>2.578008504606662E-2</v>
      </c>
      <c r="CE212" s="76">
        <f>IFERROR(SUM(BR211:CC211)/SUM(BR190:CC190),0)</f>
        <v>0.12501927481846092</v>
      </c>
      <c r="CF212" s="2"/>
      <c r="CG212" s="32">
        <f t="shared" ref="CG212:DD212" si="127">IFERROR(CG211/CG190,0)</f>
        <v>0.13688644781144779</v>
      </c>
      <c r="CH212" s="32">
        <f t="shared" si="127"/>
        <v>0.15546965656565659</v>
      </c>
      <c r="CI212" s="32">
        <f t="shared" si="127"/>
        <v>0.17504469696969693</v>
      </c>
      <c r="CJ212" s="32">
        <f t="shared" si="127"/>
        <v>0.1916870617944148</v>
      </c>
      <c r="CK212" s="32">
        <f t="shared" si="127"/>
        <v>0.20594023927215424</v>
      </c>
      <c r="CL212" s="32">
        <f t="shared" si="127"/>
        <v>0.20305340002899816</v>
      </c>
      <c r="CM212" s="32">
        <f t="shared" si="127"/>
        <v>0.19891631362165346</v>
      </c>
      <c r="CN212" s="32">
        <f t="shared" si="127"/>
        <v>0.20017699323330387</v>
      </c>
      <c r="CO212" s="32">
        <f t="shared" si="127"/>
        <v>0.21510215236476926</v>
      </c>
      <c r="CP212" s="32">
        <f t="shared" si="127"/>
        <v>0.22800749709282447</v>
      </c>
      <c r="CQ212" s="32">
        <f t="shared" si="127"/>
        <v>0.23753815244960624</v>
      </c>
      <c r="CR212" s="32">
        <f t="shared" si="127"/>
        <v>0.23966620046620052</v>
      </c>
      <c r="CS212" s="32">
        <f t="shared" si="127"/>
        <v>0.2397432482721957</v>
      </c>
      <c r="CT212" s="32">
        <f t="shared" si="127"/>
        <v>0.25017047066408771</v>
      </c>
      <c r="CU212" s="32">
        <f t="shared" si="127"/>
        <v>0.25999446531429998</v>
      </c>
      <c r="CV212" s="32">
        <f t="shared" si="127"/>
        <v>0.27085624242424239</v>
      </c>
      <c r="CW212" s="32">
        <f t="shared" si="127"/>
        <v>0.27832469904524698</v>
      </c>
      <c r="CX212" s="32">
        <f t="shared" si="127"/>
        <v>0.27861984551396313</v>
      </c>
      <c r="CY212" s="32">
        <f t="shared" si="127"/>
        <v>0.27613754208754199</v>
      </c>
      <c r="CZ212" s="32">
        <f t="shared" si="127"/>
        <v>0.27797845784578451</v>
      </c>
      <c r="DA212" s="32">
        <f t="shared" si="127"/>
        <v>0.2834351868196528</v>
      </c>
      <c r="DB212" s="32">
        <f t="shared" si="127"/>
        <v>0.28868404040404033</v>
      </c>
      <c r="DC212" s="32">
        <f t="shared" si="127"/>
        <v>0.29123419096626635</v>
      </c>
      <c r="DD212" s="32">
        <f t="shared" si="127"/>
        <v>0.28868404040404033</v>
      </c>
      <c r="DE212" s="76">
        <f>IFERROR(SUM(CG211:CR211)/SUM(CG190:CR190),0)</f>
        <v>0.20096045271997084</v>
      </c>
      <c r="DF212" s="76">
        <f>IFERROR(SUM(CS211:DD211)/SUM(CS190:DD190),0)</f>
        <v>0.27431357987497168</v>
      </c>
      <c r="DG212"/>
      <c r="DH212"/>
    </row>
    <row r="213" spans="1:112" hidden="1" x14ac:dyDescent="0.2">
      <c r="A213" s="1"/>
      <c r="B213" s="35" t="s">
        <v>135</v>
      </c>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2"/>
      <c r="AE213" s="69">
        <f>INDEX(smp_da_monthly,1)</f>
        <v>3000</v>
      </c>
      <c r="AF213" s="69">
        <f>INDEX(smp_da_monthly,2)</f>
        <v>3000</v>
      </c>
      <c r="AG213" s="69">
        <f>INDEX(smp_da_monthly,3)</f>
        <v>3000</v>
      </c>
      <c r="AH213" s="69">
        <f>INDEX(smp_da_monthly,4)</f>
        <v>3000</v>
      </c>
      <c r="AI213" s="69">
        <f>INDEX(smp_da_monthly,5)</f>
        <v>3000</v>
      </c>
      <c r="AJ213" s="69">
        <f>INDEX(smp_da_monthly,6)</f>
        <v>3000</v>
      </c>
      <c r="AK213" s="69">
        <f>INDEX(smp_da_monthly,7)</f>
        <v>3000</v>
      </c>
      <c r="AL213" s="69">
        <f>INDEX(smp_da_monthly,8)</f>
        <v>3000</v>
      </c>
      <c r="AM213" s="69">
        <f>INDEX(smp_da_monthly,9)</f>
        <v>3000</v>
      </c>
      <c r="AN213" s="69">
        <f>INDEX(smp_da_monthly,10)</f>
        <v>3000</v>
      </c>
      <c r="AO213" s="69">
        <f>INDEX(smp_da_monthly,11)</f>
        <v>3000</v>
      </c>
      <c r="AP213" s="69">
        <f>INDEX(smp_da_monthly,12)</f>
        <v>3000</v>
      </c>
      <c r="AQ213" s="69">
        <f>INDEX(smp_da_monthly,13)</f>
        <v>3000</v>
      </c>
      <c r="AR213" s="69">
        <f>INDEX(smp_da_monthly,14)</f>
        <v>3000</v>
      </c>
      <c r="AS213" s="69">
        <f>INDEX(smp_da_monthly,15)</f>
        <v>3000</v>
      </c>
      <c r="AT213" s="69">
        <f>INDEX(smp_da_monthly,16)</f>
        <v>3000</v>
      </c>
      <c r="AU213" s="69">
        <f>INDEX(smp_da_monthly,17)</f>
        <v>3000</v>
      </c>
      <c r="AV213" s="69">
        <f>INDEX(smp_da_monthly,18)</f>
        <v>3000</v>
      </c>
      <c r="AW213" s="69">
        <f>INDEX(smp_da_monthly,19)</f>
        <v>3000</v>
      </c>
      <c r="AX213" s="69">
        <f>INDEX(smp_da_monthly,20)</f>
        <v>3000</v>
      </c>
      <c r="AY213" s="69">
        <f>INDEX(smp_da_monthly,21)</f>
        <v>3000</v>
      </c>
      <c r="AZ213" s="69">
        <f>INDEX(smp_da_monthly,22)</f>
        <v>3000</v>
      </c>
      <c r="BA213" s="69">
        <f>INDEX(smp_da_monthly,23)</f>
        <v>3000</v>
      </c>
      <c r="BB213" s="69">
        <f>INDEX(smp_da_monthly,24)</f>
        <v>3000</v>
      </c>
      <c r="BC213" s="70">
        <f>SUM(AE213:AP213)</f>
        <v>36000</v>
      </c>
      <c r="BD213" s="70">
        <f>SUM(AQ213:BB213)</f>
        <v>36000</v>
      </c>
      <c r="BE213" s="2"/>
      <c r="BF213" s="69">
        <f>INDEX(smp_da_monthly,1)</f>
        <v>3000</v>
      </c>
      <c r="BG213" s="69">
        <f>INDEX(smp_da_monthly,2)</f>
        <v>3000</v>
      </c>
      <c r="BH213" s="69">
        <f>INDEX(smp_da_monthly,3)</f>
        <v>3000</v>
      </c>
      <c r="BI213" s="69">
        <f>INDEX(smp_da_monthly,4)</f>
        <v>3000</v>
      </c>
      <c r="BJ213" s="69">
        <f>INDEX(smp_da_monthly,5)</f>
        <v>3000</v>
      </c>
      <c r="BK213" s="69">
        <f>INDEX(smp_da_monthly,6)</f>
        <v>3000</v>
      </c>
      <c r="BL213" s="69">
        <f>INDEX(smp_da_monthly,7)</f>
        <v>3000</v>
      </c>
      <c r="BM213" s="69">
        <f>INDEX(smp_da_monthly,8)</f>
        <v>3000</v>
      </c>
      <c r="BN213" s="69">
        <f>INDEX(smp_da_monthly,9)</f>
        <v>3000</v>
      </c>
      <c r="BO213" s="69">
        <f>INDEX(smp_da_monthly,10)</f>
        <v>3000</v>
      </c>
      <c r="BP213" s="69">
        <f>INDEX(smp_da_monthly,11)</f>
        <v>3000</v>
      </c>
      <c r="BQ213" s="69">
        <f>INDEX(smp_da_monthly,12)</f>
        <v>3000</v>
      </c>
      <c r="BR213" s="69">
        <f>INDEX(smp_da_monthly,13)</f>
        <v>3000</v>
      </c>
      <c r="BS213" s="69">
        <f>INDEX(smp_da_monthly,14)</f>
        <v>3000</v>
      </c>
      <c r="BT213" s="69">
        <f>INDEX(smp_da_monthly,15)</f>
        <v>3000</v>
      </c>
      <c r="BU213" s="69">
        <f>INDEX(smp_da_monthly,16)</f>
        <v>3000</v>
      </c>
      <c r="BV213" s="69">
        <f>INDEX(smp_da_monthly,17)</f>
        <v>3000</v>
      </c>
      <c r="BW213" s="69">
        <f>INDEX(smp_da_monthly,18)</f>
        <v>3000</v>
      </c>
      <c r="BX213" s="69">
        <f>INDEX(smp_da_monthly,19)</f>
        <v>3000</v>
      </c>
      <c r="BY213" s="69">
        <f>INDEX(smp_da_monthly,20)</f>
        <v>3000</v>
      </c>
      <c r="BZ213" s="69">
        <f>INDEX(smp_da_monthly,21)</f>
        <v>3000</v>
      </c>
      <c r="CA213" s="69">
        <f>INDEX(smp_da_monthly,22)</f>
        <v>3000</v>
      </c>
      <c r="CB213" s="69">
        <f>INDEX(smp_da_monthly,23)</f>
        <v>3000</v>
      </c>
      <c r="CC213" s="69">
        <f>INDEX(smp_da_monthly,24)</f>
        <v>3000</v>
      </c>
      <c r="CD213" s="70">
        <f>SUM(BF213:BQ213)</f>
        <v>36000</v>
      </c>
      <c r="CE213" s="70">
        <f>SUM(BR213:CC213)</f>
        <v>36000</v>
      </c>
      <c r="CF213" s="2"/>
      <c r="CG213" s="69">
        <f>INDEX(smp_da_monthly,1)</f>
        <v>3000</v>
      </c>
      <c r="CH213" s="69">
        <f>INDEX(smp_da_monthly,2)</f>
        <v>3000</v>
      </c>
      <c r="CI213" s="69">
        <f>INDEX(smp_da_monthly,3)</f>
        <v>3000</v>
      </c>
      <c r="CJ213" s="69">
        <f>INDEX(smp_da_monthly,4)</f>
        <v>3000</v>
      </c>
      <c r="CK213" s="69">
        <f>INDEX(smp_da_monthly,5)</f>
        <v>3000</v>
      </c>
      <c r="CL213" s="69">
        <f>INDEX(smp_da_monthly,6)</f>
        <v>3000</v>
      </c>
      <c r="CM213" s="69">
        <f>INDEX(smp_da_monthly,7)</f>
        <v>3000</v>
      </c>
      <c r="CN213" s="69">
        <f>INDEX(smp_da_monthly,8)</f>
        <v>3000</v>
      </c>
      <c r="CO213" s="69">
        <f>INDEX(smp_da_monthly,9)</f>
        <v>3000</v>
      </c>
      <c r="CP213" s="69">
        <f>INDEX(smp_da_monthly,10)</f>
        <v>3000</v>
      </c>
      <c r="CQ213" s="69">
        <f>INDEX(smp_da_monthly,11)</f>
        <v>3000</v>
      </c>
      <c r="CR213" s="69">
        <f>INDEX(smp_da_monthly,12)</f>
        <v>3000</v>
      </c>
      <c r="CS213" s="69">
        <f>INDEX(smp_da_monthly,13)</f>
        <v>3000</v>
      </c>
      <c r="CT213" s="69">
        <f>INDEX(smp_da_monthly,14)</f>
        <v>3000</v>
      </c>
      <c r="CU213" s="69">
        <f>INDEX(smp_da_monthly,15)</f>
        <v>3000</v>
      </c>
      <c r="CV213" s="69">
        <f>INDEX(smp_da_monthly,16)</f>
        <v>3000</v>
      </c>
      <c r="CW213" s="69">
        <f>INDEX(smp_da_monthly,17)</f>
        <v>3000</v>
      </c>
      <c r="CX213" s="69">
        <f>INDEX(smp_da_monthly,18)</f>
        <v>3000</v>
      </c>
      <c r="CY213" s="69">
        <f>INDEX(smp_da_monthly,19)</f>
        <v>3000</v>
      </c>
      <c r="CZ213" s="69">
        <f>INDEX(smp_da_monthly,20)</f>
        <v>3000</v>
      </c>
      <c r="DA213" s="69">
        <f>INDEX(smp_da_monthly,21)</f>
        <v>3000</v>
      </c>
      <c r="DB213" s="69">
        <f>INDEX(smp_da_monthly,22)</f>
        <v>3000</v>
      </c>
      <c r="DC213" s="69">
        <f>INDEX(smp_da_monthly,23)</f>
        <v>3000</v>
      </c>
      <c r="DD213" s="69">
        <f>INDEX(smp_da_monthly,24)</f>
        <v>3000</v>
      </c>
      <c r="DE213" s="70">
        <f>SUM(CG213:CR213)</f>
        <v>36000</v>
      </c>
      <c r="DF213" s="70">
        <f>SUM(CS213:DD213)</f>
        <v>36000</v>
      </c>
      <c r="DG213"/>
      <c r="DH213"/>
    </row>
    <row r="214" spans="1:112" hidden="1" x14ac:dyDescent="0.2">
      <c r="A214" s="1"/>
      <c r="B214" s="35" t="s">
        <v>136</v>
      </c>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2"/>
      <c r="AE214" s="70">
        <f t="shared" ref="AE214:BB214" si="128">AE211-AE213</f>
        <v>24066.666666666686</v>
      </c>
      <c r="AF214" s="70">
        <f t="shared" si="128"/>
        <v>32966.666666666686</v>
      </c>
      <c r="AG214" s="70">
        <f t="shared" si="128"/>
        <v>43146.666666666686</v>
      </c>
      <c r="AH214" s="70">
        <f t="shared" si="128"/>
        <v>52606.666666666686</v>
      </c>
      <c r="AI214" s="70">
        <f t="shared" si="128"/>
        <v>61386.666666666686</v>
      </c>
      <c r="AJ214" s="70">
        <f t="shared" si="128"/>
        <v>59206.666666666686</v>
      </c>
      <c r="AK214" s="70">
        <f t="shared" si="128"/>
        <v>56346.666666666686</v>
      </c>
      <c r="AL214" s="70">
        <f t="shared" si="128"/>
        <v>56876.666666666686</v>
      </c>
      <c r="AM214" s="70">
        <f t="shared" si="128"/>
        <v>66336.666666666686</v>
      </c>
      <c r="AN214" s="70">
        <f t="shared" si="128"/>
        <v>75156.666666666686</v>
      </c>
      <c r="AO214" s="70">
        <f t="shared" si="128"/>
        <v>81906.666666666686</v>
      </c>
      <c r="AP214" s="70">
        <f t="shared" si="128"/>
        <v>83116.666666666686</v>
      </c>
      <c r="AQ214" s="70">
        <f t="shared" si="128"/>
        <v>83376.666666666686</v>
      </c>
      <c r="AR214" s="70">
        <f t="shared" si="128"/>
        <v>91516.666666666686</v>
      </c>
      <c r="AS214" s="70">
        <f t="shared" si="128"/>
        <v>99656.666666666686</v>
      </c>
      <c r="AT214" s="70">
        <f t="shared" si="128"/>
        <v>109116.66666666669</v>
      </c>
      <c r="AU214" s="70">
        <f t="shared" si="128"/>
        <v>115826.66666666669</v>
      </c>
      <c r="AV214" s="70">
        <f t="shared" si="128"/>
        <v>115716.66666666669</v>
      </c>
      <c r="AW214" s="70">
        <f t="shared" si="128"/>
        <v>112856.66666666669</v>
      </c>
      <c r="AX214" s="70">
        <f t="shared" si="128"/>
        <v>114066.66666666669</v>
      </c>
      <c r="AY214" s="70">
        <f t="shared" si="128"/>
        <v>119566.66666666669</v>
      </c>
      <c r="AZ214" s="70">
        <f t="shared" si="128"/>
        <v>125066.66666666669</v>
      </c>
      <c r="BA214" s="70">
        <f t="shared" si="128"/>
        <v>127816.66666666669</v>
      </c>
      <c r="BB214" s="70">
        <f t="shared" si="128"/>
        <v>125066.66666666669</v>
      </c>
      <c r="BC214" s="70">
        <f>SUM(AE214:AP214)</f>
        <v>693120.00000000023</v>
      </c>
      <c r="BD214" s="70">
        <f>SUM(AQ214:BB214)</f>
        <v>1339650.0000000005</v>
      </c>
      <c r="BE214" s="2"/>
      <c r="BF214" s="70">
        <f t="shared" ref="BF214:CC214" si="129">BF211-BF213</f>
        <v>-21639.875</v>
      </c>
      <c r="BG214" s="70">
        <f t="shared" si="129"/>
        <v>-14334.125</v>
      </c>
      <c r="BH214" s="70">
        <f t="shared" si="129"/>
        <v>-5970.9750000000058</v>
      </c>
      <c r="BI214" s="70">
        <f t="shared" si="129"/>
        <v>1792.0750000000116</v>
      </c>
      <c r="BJ214" s="70">
        <f t="shared" si="129"/>
        <v>8990.7250000000058</v>
      </c>
      <c r="BK214" s="70">
        <f t="shared" si="129"/>
        <v>7257.5750000000116</v>
      </c>
      <c r="BL214" s="70">
        <f t="shared" si="129"/>
        <v>4960.0249999999942</v>
      </c>
      <c r="BM214" s="70">
        <f t="shared" si="129"/>
        <v>5433.0499999999884</v>
      </c>
      <c r="BN214" s="70">
        <f t="shared" si="129"/>
        <v>13196.100000000006</v>
      </c>
      <c r="BO214" s="70">
        <f t="shared" si="129"/>
        <v>20430.450000000012</v>
      </c>
      <c r="BP214" s="70">
        <f t="shared" si="129"/>
        <v>25987.324999999983</v>
      </c>
      <c r="BQ214" s="70">
        <f t="shared" si="129"/>
        <v>27024.75</v>
      </c>
      <c r="BR214" s="70">
        <f t="shared" si="129"/>
        <v>27214.299999999988</v>
      </c>
      <c r="BS214" s="70">
        <f t="shared" si="129"/>
        <v>33884.25</v>
      </c>
      <c r="BT214" s="70">
        <f t="shared" si="129"/>
        <v>40554.199999999983</v>
      </c>
      <c r="BU214" s="70">
        <f t="shared" si="129"/>
        <v>48317.25</v>
      </c>
      <c r="BV214" s="70">
        <f t="shared" si="129"/>
        <v>53838.424999999988</v>
      </c>
      <c r="BW214" s="70">
        <f t="shared" si="129"/>
        <v>53782.75</v>
      </c>
      <c r="BX214" s="70">
        <f t="shared" si="129"/>
        <v>51485.199999999983</v>
      </c>
      <c r="BY214" s="70">
        <f t="shared" si="129"/>
        <v>52522.625</v>
      </c>
      <c r="BZ214" s="70">
        <f t="shared" si="129"/>
        <v>57006.375</v>
      </c>
      <c r="CA214" s="70">
        <f t="shared" si="129"/>
        <v>61490.125</v>
      </c>
      <c r="CB214" s="70">
        <f t="shared" si="129"/>
        <v>63732</v>
      </c>
      <c r="CC214" s="70">
        <f t="shared" si="129"/>
        <v>61490.125</v>
      </c>
      <c r="CD214" s="70">
        <f>SUM(BF214:BQ214)</f>
        <v>73127.100000000006</v>
      </c>
      <c r="CE214" s="70">
        <f>SUM(BR214:CC214)</f>
        <v>605317.625</v>
      </c>
      <c r="CF214" s="2"/>
      <c r="CG214" s="70">
        <f t="shared" ref="CG214:DD214" si="130">CG211-CG213</f>
        <v>51207.033333333326</v>
      </c>
      <c r="CH214" s="70">
        <f t="shared" si="130"/>
        <v>61131.233333333337</v>
      </c>
      <c r="CI214" s="70">
        <f t="shared" si="130"/>
        <v>72479.273333333316</v>
      </c>
      <c r="CJ214" s="70">
        <f t="shared" si="130"/>
        <v>83029.153333333379</v>
      </c>
      <c r="CK214" s="70">
        <f t="shared" si="130"/>
        <v>92823.993333333376</v>
      </c>
      <c r="CL214" s="70">
        <f t="shared" si="130"/>
        <v>90363.953333333367</v>
      </c>
      <c r="CM214" s="70">
        <f t="shared" si="130"/>
        <v>87148.873333333351</v>
      </c>
      <c r="CN214" s="70">
        <f t="shared" si="130"/>
        <v>87720.213333333319</v>
      </c>
      <c r="CO214" s="70">
        <f t="shared" si="130"/>
        <v>98270.093333333381</v>
      </c>
      <c r="CP214" s="70">
        <f t="shared" si="130"/>
        <v>108108.05333333337</v>
      </c>
      <c r="CQ214" s="70">
        <f t="shared" si="130"/>
        <v>115626.55333333337</v>
      </c>
      <c r="CR214" s="70">
        <f t="shared" si="130"/>
        <v>116952.93333333338</v>
      </c>
      <c r="CS214" s="70">
        <f t="shared" si="130"/>
        <v>117255.21333333338</v>
      </c>
      <c r="CT214" s="70">
        <f t="shared" si="130"/>
        <v>126338.13333333333</v>
      </c>
      <c r="CU214" s="70">
        <f t="shared" si="130"/>
        <v>135421.05333333332</v>
      </c>
      <c r="CV214" s="70">
        <f t="shared" si="130"/>
        <v>145970.93333333332</v>
      </c>
      <c r="CW214" s="70">
        <f t="shared" si="130"/>
        <v>153446.31333333332</v>
      </c>
      <c r="CX214" s="70">
        <f t="shared" si="130"/>
        <v>153305.73333333331</v>
      </c>
      <c r="CY214" s="70">
        <f t="shared" si="130"/>
        <v>150090.65333333329</v>
      </c>
      <c r="CZ214" s="70">
        <f t="shared" si="130"/>
        <v>151417.0333333333</v>
      </c>
      <c r="DA214" s="70">
        <f t="shared" si="130"/>
        <v>157566.0333333333</v>
      </c>
      <c r="DB214" s="70">
        <f t="shared" si="130"/>
        <v>163715.0333333333</v>
      </c>
      <c r="DC214" s="70">
        <f t="shared" si="130"/>
        <v>166789.5333333333</v>
      </c>
      <c r="DD214" s="70">
        <f t="shared" si="130"/>
        <v>163715.0333333333</v>
      </c>
      <c r="DE214" s="70">
        <f>SUM(CG214:CR214)</f>
        <v>1064861.3600000003</v>
      </c>
      <c r="DF214" s="70">
        <f>SUM(CS214:DD214)</f>
        <v>1785030.6999999995</v>
      </c>
      <c r="DG214"/>
      <c r="DH214"/>
    </row>
    <row r="215" spans="1:112" hidden="1" x14ac:dyDescent="0.2">
      <c r="A215" s="1"/>
      <c r="B215" s="35" t="s">
        <v>137</v>
      </c>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2"/>
      <c r="AE215" s="69">
        <f>smp_open_debt</f>
        <v>300000</v>
      </c>
      <c r="AF215" s="69">
        <f t="shared" ref="AF215:BB215" si="131">AE261</f>
        <v>291667</v>
      </c>
      <c r="AG215" s="69">
        <f t="shared" si="131"/>
        <v>283334</v>
      </c>
      <c r="AH215" s="69">
        <f t="shared" si="131"/>
        <v>275001</v>
      </c>
      <c r="AI215" s="69">
        <f t="shared" si="131"/>
        <v>266668</v>
      </c>
      <c r="AJ215" s="69">
        <f t="shared" si="131"/>
        <v>258335</v>
      </c>
      <c r="AK215" s="69">
        <f t="shared" si="131"/>
        <v>250002</v>
      </c>
      <c r="AL215" s="69">
        <f t="shared" si="131"/>
        <v>241669</v>
      </c>
      <c r="AM215" s="69">
        <f t="shared" si="131"/>
        <v>233336</v>
      </c>
      <c r="AN215" s="69">
        <f t="shared" si="131"/>
        <v>225003</v>
      </c>
      <c r="AO215" s="69">
        <f t="shared" si="131"/>
        <v>216670</v>
      </c>
      <c r="AP215" s="69">
        <f t="shared" si="131"/>
        <v>208337</v>
      </c>
      <c r="AQ215" s="69">
        <f t="shared" si="131"/>
        <v>200004</v>
      </c>
      <c r="AR215" s="69">
        <f t="shared" si="131"/>
        <v>191671</v>
      </c>
      <c r="AS215" s="69">
        <f t="shared" si="131"/>
        <v>183338</v>
      </c>
      <c r="AT215" s="69">
        <f t="shared" si="131"/>
        <v>175005</v>
      </c>
      <c r="AU215" s="69">
        <f t="shared" si="131"/>
        <v>166672</v>
      </c>
      <c r="AV215" s="69">
        <f t="shared" si="131"/>
        <v>158339</v>
      </c>
      <c r="AW215" s="69">
        <f t="shared" si="131"/>
        <v>150006</v>
      </c>
      <c r="AX215" s="69">
        <f t="shared" si="131"/>
        <v>141673</v>
      </c>
      <c r="AY215" s="69">
        <f t="shared" si="131"/>
        <v>133340</v>
      </c>
      <c r="AZ215" s="69">
        <f t="shared" si="131"/>
        <v>125007</v>
      </c>
      <c r="BA215" s="69">
        <f t="shared" si="131"/>
        <v>116674</v>
      </c>
      <c r="BB215" s="69">
        <f t="shared" si="131"/>
        <v>108341</v>
      </c>
      <c r="BC215" s="70">
        <f>AP215</f>
        <v>208337</v>
      </c>
      <c r="BD215" s="70">
        <f>BB215</f>
        <v>108341</v>
      </c>
      <c r="BE215" s="2"/>
      <c r="BF215" s="69">
        <f>smp_open_debt</f>
        <v>300000</v>
      </c>
      <c r="BG215" s="69">
        <f t="shared" ref="BG215:CC215" si="132">BF261</f>
        <v>291667</v>
      </c>
      <c r="BH215" s="69">
        <f t="shared" si="132"/>
        <v>283334</v>
      </c>
      <c r="BI215" s="69">
        <f t="shared" si="132"/>
        <v>275001</v>
      </c>
      <c r="BJ215" s="69">
        <f t="shared" si="132"/>
        <v>266668</v>
      </c>
      <c r="BK215" s="69">
        <f t="shared" si="132"/>
        <v>258335</v>
      </c>
      <c r="BL215" s="69">
        <f t="shared" si="132"/>
        <v>250002</v>
      </c>
      <c r="BM215" s="69">
        <f t="shared" si="132"/>
        <v>241669</v>
      </c>
      <c r="BN215" s="69">
        <f t="shared" si="132"/>
        <v>233336</v>
      </c>
      <c r="BO215" s="69">
        <f t="shared" si="132"/>
        <v>225003</v>
      </c>
      <c r="BP215" s="69">
        <f t="shared" si="132"/>
        <v>216670</v>
      </c>
      <c r="BQ215" s="69">
        <f t="shared" si="132"/>
        <v>208337</v>
      </c>
      <c r="BR215" s="69">
        <f t="shared" si="132"/>
        <v>200004</v>
      </c>
      <c r="BS215" s="69">
        <f t="shared" si="132"/>
        <v>191671</v>
      </c>
      <c r="BT215" s="69">
        <f t="shared" si="132"/>
        <v>183338</v>
      </c>
      <c r="BU215" s="69">
        <f t="shared" si="132"/>
        <v>175005</v>
      </c>
      <c r="BV215" s="69">
        <f t="shared" si="132"/>
        <v>166672</v>
      </c>
      <c r="BW215" s="69">
        <f t="shared" si="132"/>
        <v>158339</v>
      </c>
      <c r="BX215" s="69">
        <f t="shared" si="132"/>
        <v>150006</v>
      </c>
      <c r="BY215" s="69">
        <f t="shared" si="132"/>
        <v>141673</v>
      </c>
      <c r="BZ215" s="69">
        <f t="shared" si="132"/>
        <v>133340</v>
      </c>
      <c r="CA215" s="69">
        <f t="shared" si="132"/>
        <v>125007</v>
      </c>
      <c r="CB215" s="69">
        <f t="shared" si="132"/>
        <v>116674</v>
      </c>
      <c r="CC215" s="69">
        <f t="shared" si="132"/>
        <v>108341</v>
      </c>
      <c r="CD215" s="70">
        <f>BQ215</f>
        <v>208337</v>
      </c>
      <c r="CE215" s="70">
        <f>CC215</f>
        <v>108341</v>
      </c>
      <c r="CF215" s="2"/>
      <c r="CG215" s="69">
        <f>smp_open_debt</f>
        <v>300000</v>
      </c>
      <c r="CH215" s="69">
        <f t="shared" ref="CH215:DD215" si="133">CG261</f>
        <v>291667</v>
      </c>
      <c r="CI215" s="69">
        <f t="shared" si="133"/>
        <v>283334</v>
      </c>
      <c r="CJ215" s="69">
        <f t="shared" si="133"/>
        <v>275001</v>
      </c>
      <c r="CK215" s="69">
        <f t="shared" si="133"/>
        <v>266668</v>
      </c>
      <c r="CL215" s="69">
        <f t="shared" si="133"/>
        <v>258335</v>
      </c>
      <c r="CM215" s="69">
        <f t="shared" si="133"/>
        <v>250002</v>
      </c>
      <c r="CN215" s="69">
        <f t="shared" si="133"/>
        <v>241669</v>
      </c>
      <c r="CO215" s="69">
        <f t="shared" si="133"/>
        <v>233336</v>
      </c>
      <c r="CP215" s="69">
        <f t="shared" si="133"/>
        <v>225003</v>
      </c>
      <c r="CQ215" s="69">
        <f t="shared" si="133"/>
        <v>216670</v>
      </c>
      <c r="CR215" s="69">
        <f t="shared" si="133"/>
        <v>208337</v>
      </c>
      <c r="CS215" s="69">
        <f t="shared" si="133"/>
        <v>200004</v>
      </c>
      <c r="CT215" s="69">
        <f t="shared" si="133"/>
        <v>191671</v>
      </c>
      <c r="CU215" s="69">
        <f t="shared" si="133"/>
        <v>183338</v>
      </c>
      <c r="CV215" s="69">
        <f t="shared" si="133"/>
        <v>175005</v>
      </c>
      <c r="CW215" s="69">
        <f t="shared" si="133"/>
        <v>166672</v>
      </c>
      <c r="CX215" s="69">
        <f t="shared" si="133"/>
        <v>158339</v>
      </c>
      <c r="CY215" s="69">
        <f t="shared" si="133"/>
        <v>150006</v>
      </c>
      <c r="CZ215" s="69">
        <f t="shared" si="133"/>
        <v>141673</v>
      </c>
      <c r="DA215" s="69">
        <f t="shared" si="133"/>
        <v>133340</v>
      </c>
      <c r="DB215" s="69">
        <f t="shared" si="133"/>
        <v>125007</v>
      </c>
      <c r="DC215" s="69">
        <f t="shared" si="133"/>
        <v>116674</v>
      </c>
      <c r="DD215" s="69">
        <f t="shared" si="133"/>
        <v>108341</v>
      </c>
      <c r="DE215" s="70">
        <f>CR215</f>
        <v>208337</v>
      </c>
      <c r="DF215" s="70">
        <f>DD215</f>
        <v>108341</v>
      </c>
      <c r="DG215"/>
      <c r="DH215"/>
    </row>
    <row r="216" spans="1:112" hidden="1" x14ac:dyDescent="0.2">
      <c r="A216" s="1"/>
      <c r="B216" s="35" t="s">
        <v>138</v>
      </c>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2"/>
      <c r="AE216" s="69">
        <f t="shared" ref="AE216:BB216" si="134">AE215*smp_int_rate/12</f>
        <v>2125.0000000000005</v>
      </c>
      <c r="AF216" s="69">
        <f t="shared" si="134"/>
        <v>2065.9745833333336</v>
      </c>
      <c r="AG216" s="69">
        <f t="shared" si="134"/>
        <v>2006.949166666667</v>
      </c>
      <c r="AH216" s="69">
        <f t="shared" si="134"/>
        <v>1947.9237500000002</v>
      </c>
      <c r="AI216" s="69">
        <f t="shared" si="134"/>
        <v>1888.8983333333335</v>
      </c>
      <c r="AJ216" s="69">
        <f t="shared" si="134"/>
        <v>1829.8729166666669</v>
      </c>
      <c r="AK216" s="69">
        <f t="shared" si="134"/>
        <v>1770.8475000000001</v>
      </c>
      <c r="AL216" s="69">
        <f t="shared" si="134"/>
        <v>1711.8220833333335</v>
      </c>
      <c r="AM216" s="69">
        <f t="shared" si="134"/>
        <v>1652.7966666666669</v>
      </c>
      <c r="AN216" s="69">
        <f t="shared" si="134"/>
        <v>1593.77125</v>
      </c>
      <c r="AO216" s="69">
        <f t="shared" si="134"/>
        <v>1534.7458333333334</v>
      </c>
      <c r="AP216" s="69">
        <f t="shared" si="134"/>
        <v>1475.7204166666668</v>
      </c>
      <c r="AQ216" s="69">
        <f t="shared" si="134"/>
        <v>1416.6949999999999</v>
      </c>
      <c r="AR216" s="69">
        <f t="shared" si="134"/>
        <v>1357.6695833333335</v>
      </c>
      <c r="AS216" s="69">
        <f t="shared" si="134"/>
        <v>1298.6441666666667</v>
      </c>
      <c r="AT216" s="69">
        <f t="shared" si="134"/>
        <v>1239.6187500000001</v>
      </c>
      <c r="AU216" s="69">
        <f t="shared" si="134"/>
        <v>1180.5933333333335</v>
      </c>
      <c r="AV216" s="69">
        <f t="shared" si="134"/>
        <v>1121.5679166666666</v>
      </c>
      <c r="AW216" s="69">
        <f t="shared" si="134"/>
        <v>1062.5425</v>
      </c>
      <c r="AX216" s="69">
        <f t="shared" si="134"/>
        <v>1003.5170833333335</v>
      </c>
      <c r="AY216" s="69">
        <f t="shared" si="134"/>
        <v>944.49166666666679</v>
      </c>
      <c r="AZ216" s="69">
        <f t="shared" si="134"/>
        <v>885.46625000000006</v>
      </c>
      <c r="BA216" s="69">
        <f t="shared" si="134"/>
        <v>826.44083333333344</v>
      </c>
      <c r="BB216" s="69">
        <f t="shared" si="134"/>
        <v>767.41541666666672</v>
      </c>
      <c r="BC216" s="70">
        <f>SUM(AE216:AP216)</f>
        <v>21604.322500000002</v>
      </c>
      <c r="BD216" s="70">
        <f>SUM(AQ216:BB216)</f>
        <v>13104.662500000002</v>
      </c>
      <c r="BE216" s="2"/>
      <c r="BF216" s="69">
        <f t="shared" ref="BF216:CC216" si="135">BF215*smp_int_rate/12</f>
        <v>2125.0000000000005</v>
      </c>
      <c r="BG216" s="69">
        <f t="shared" si="135"/>
        <v>2065.9745833333336</v>
      </c>
      <c r="BH216" s="69">
        <f t="shared" si="135"/>
        <v>2006.949166666667</v>
      </c>
      <c r="BI216" s="69">
        <f t="shared" si="135"/>
        <v>1947.9237500000002</v>
      </c>
      <c r="BJ216" s="69">
        <f t="shared" si="135"/>
        <v>1888.8983333333335</v>
      </c>
      <c r="BK216" s="69">
        <f t="shared" si="135"/>
        <v>1829.8729166666669</v>
      </c>
      <c r="BL216" s="69">
        <f t="shared" si="135"/>
        <v>1770.8475000000001</v>
      </c>
      <c r="BM216" s="69">
        <f t="shared" si="135"/>
        <v>1711.8220833333335</v>
      </c>
      <c r="BN216" s="69">
        <f t="shared" si="135"/>
        <v>1652.7966666666669</v>
      </c>
      <c r="BO216" s="69">
        <f t="shared" si="135"/>
        <v>1593.77125</v>
      </c>
      <c r="BP216" s="69">
        <f t="shared" si="135"/>
        <v>1534.7458333333334</v>
      </c>
      <c r="BQ216" s="69">
        <f t="shared" si="135"/>
        <v>1475.7204166666668</v>
      </c>
      <c r="BR216" s="69">
        <f t="shared" si="135"/>
        <v>1416.6949999999999</v>
      </c>
      <c r="BS216" s="69">
        <f t="shared" si="135"/>
        <v>1357.6695833333335</v>
      </c>
      <c r="BT216" s="69">
        <f t="shared" si="135"/>
        <v>1298.6441666666667</v>
      </c>
      <c r="BU216" s="69">
        <f t="shared" si="135"/>
        <v>1239.6187500000001</v>
      </c>
      <c r="BV216" s="69">
        <f t="shared" si="135"/>
        <v>1180.5933333333335</v>
      </c>
      <c r="BW216" s="69">
        <f t="shared" si="135"/>
        <v>1121.5679166666666</v>
      </c>
      <c r="BX216" s="69">
        <f t="shared" si="135"/>
        <v>1062.5425</v>
      </c>
      <c r="BY216" s="69">
        <f t="shared" si="135"/>
        <v>1003.5170833333335</v>
      </c>
      <c r="BZ216" s="69">
        <f t="shared" si="135"/>
        <v>944.49166666666679</v>
      </c>
      <c r="CA216" s="69">
        <f t="shared" si="135"/>
        <v>885.46625000000006</v>
      </c>
      <c r="CB216" s="69">
        <f t="shared" si="135"/>
        <v>826.44083333333344</v>
      </c>
      <c r="CC216" s="69">
        <f t="shared" si="135"/>
        <v>767.41541666666672</v>
      </c>
      <c r="CD216" s="70">
        <f>SUM(BF216:BQ216)</f>
        <v>21604.322500000002</v>
      </c>
      <c r="CE216" s="70">
        <f>SUM(BR216:CC216)</f>
        <v>13104.662500000002</v>
      </c>
      <c r="CF216" s="2"/>
      <c r="CG216" s="69">
        <f t="shared" ref="CG216:DD216" si="136">CG215*smp_int_rate/12</f>
        <v>2125.0000000000005</v>
      </c>
      <c r="CH216" s="69">
        <f t="shared" si="136"/>
        <v>2065.9745833333336</v>
      </c>
      <c r="CI216" s="69">
        <f t="shared" si="136"/>
        <v>2006.949166666667</v>
      </c>
      <c r="CJ216" s="69">
        <f t="shared" si="136"/>
        <v>1947.9237500000002</v>
      </c>
      <c r="CK216" s="69">
        <f t="shared" si="136"/>
        <v>1888.8983333333335</v>
      </c>
      <c r="CL216" s="69">
        <f t="shared" si="136"/>
        <v>1829.8729166666669</v>
      </c>
      <c r="CM216" s="69">
        <f t="shared" si="136"/>
        <v>1770.8475000000001</v>
      </c>
      <c r="CN216" s="69">
        <f t="shared" si="136"/>
        <v>1711.8220833333335</v>
      </c>
      <c r="CO216" s="69">
        <f t="shared" si="136"/>
        <v>1652.7966666666669</v>
      </c>
      <c r="CP216" s="69">
        <f t="shared" si="136"/>
        <v>1593.77125</v>
      </c>
      <c r="CQ216" s="69">
        <f t="shared" si="136"/>
        <v>1534.7458333333334</v>
      </c>
      <c r="CR216" s="69">
        <f t="shared" si="136"/>
        <v>1475.7204166666668</v>
      </c>
      <c r="CS216" s="69">
        <f t="shared" si="136"/>
        <v>1416.6949999999999</v>
      </c>
      <c r="CT216" s="69">
        <f t="shared" si="136"/>
        <v>1357.6695833333335</v>
      </c>
      <c r="CU216" s="69">
        <f t="shared" si="136"/>
        <v>1298.6441666666667</v>
      </c>
      <c r="CV216" s="69">
        <f t="shared" si="136"/>
        <v>1239.6187500000001</v>
      </c>
      <c r="CW216" s="69">
        <f t="shared" si="136"/>
        <v>1180.5933333333335</v>
      </c>
      <c r="CX216" s="69">
        <f t="shared" si="136"/>
        <v>1121.5679166666666</v>
      </c>
      <c r="CY216" s="69">
        <f t="shared" si="136"/>
        <v>1062.5425</v>
      </c>
      <c r="CZ216" s="69">
        <f t="shared" si="136"/>
        <v>1003.5170833333335</v>
      </c>
      <c r="DA216" s="69">
        <f t="shared" si="136"/>
        <v>944.49166666666679</v>
      </c>
      <c r="DB216" s="69">
        <f t="shared" si="136"/>
        <v>885.46625000000006</v>
      </c>
      <c r="DC216" s="69">
        <f t="shared" si="136"/>
        <v>826.44083333333344</v>
      </c>
      <c r="DD216" s="69">
        <f t="shared" si="136"/>
        <v>767.41541666666672</v>
      </c>
      <c r="DE216" s="70">
        <f>SUM(CG216:CR216)</f>
        <v>21604.322500000002</v>
      </c>
      <c r="DF216" s="70">
        <f>SUM(CS216:DD216)</f>
        <v>13104.662500000002</v>
      </c>
      <c r="DG216"/>
      <c r="DH216"/>
    </row>
    <row r="217" spans="1:112" hidden="1" x14ac:dyDescent="0.2">
      <c r="A217" s="1"/>
      <c r="B217" s="35" t="s">
        <v>139</v>
      </c>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2"/>
      <c r="AE217" s="70">
        <f t="shared" ref="AE217:BB217" si="137">AE214-AE216</f>
        <v>21941.666666666686</v>
      </c>
      <c r="AF217" s="70">
        <f t="shared" si="137"/>
        <v>30900.692083333353</v>
      </c>
      <c r="AG217" s="70">
        <f t="shared" si="137"/>
        <v>41139.717500000021</v>
      </c>
      <c r="AH217" s="70">
        <f t="shared" si="137"/>
        <v>50658.742916666684</v>
      </c>
      <c r="AI217" s="70">
        <f t="shared" si="137"/>
        <v>59497.768333333355</v>
      </c>
      <c r="AJ217" s="70">
        <f t="shared" si="137"/>
        <v>57376.793750000019</v>
      </c>
      <c r="AK217" s="70">
        <f t="shared" si="137"/>
        <v>54575.819166666683</v>
      </c>
      <c r="AL217" s="70">
        <f t="shared" si="137"/>
        <v>55164.844583333354</v>
      </c>
      <c r="AM217" s="70">
        <f t="shared" si="137"/>
        <v>64683.870000000017</v>
      </c>
      <c r="AN217" s="70">
        <f t="shared" si="137"/>
        <v>73562.895416666681</v>
      </c>
      <c r="AO217" s="70">
        <f t="shared" si="137"/>
        <v>80371.920833333352</v>
      </c>
      <c r="AP217" s="70">
        <f t="shared" si="137"/>
        <v>81640.946250000023</v>
      </c>
      <c r="AQ217" s="70">
        <f t="shared" si="137"/>
        <v>81959.971666666679</v>
      </c>
      <c r="AR217" s="70">
        <f t="shared" si="137"/>
        <v>90158.99708333335</v>
      </c>
      <c r="AS217" s="70">
        <f t="shared" si="137"/>
        <v>98358.022500000021</v>
      </c>
      <c r="AT217" s="70">
        <f t="shared" si="137"/>
        <v>107877.04791666669</v>
      </c>
      <c r="AU217" s="70">
        <f t="shared" si="137"/>
        <v>114646.07333333335</v>
      </c>
      <c r="AV217" s="70">
        <f t="shared" si="137"/>
        <v>114595.09875000002</v>
      </c>
      <c r="AW217" s="70">
        <f t="shared" si="137"/>
        <v>111794.12416666669</v>
      </c>
      <c r="AX217" s="70">
        <f t="shared" si="137"/>
        <v>113063.14958333335</v>
      </c>
      <c r="AY217" s="70">
        <f t="shared" si="137"/>
        <v>118622.17500000002</v>
      </c>
      <c r="AZ217" s="70">
        <f t="shared" si="137"/>
        <v>124181.20041666669</v>
      </c>
      <c r="BA217" s="70">
        <f t="shared" si="137"/>
        <v>126990.22583333336</v>
      </c>
      <c r="BB217" s="70">
        <f t="shared" si="137"/>
        <v>124299.25125000002</v>
      </c>
      <c r="BC217" s="70">
        <f>SUM(AE217:AP217)</f>
        <v>671515.67750000022</v>
      </c>
      <c r="BD217" s="70">
        <f>SUM(AQ217:BB217)</f>
        <v>1326545.3375000001</v>
      </c>
      <c r="BE217" s="2"/>
      <c r="BF217" s="70">
        <f t="shared" ref="BF217:CC217" si="138">BF214-BF216</f>
        <v>-23764.875</v>
      </c>
      <c r="BG217" s="70">
        <f t="shared" si="138"/>
        <v>-16400.099583333333</v>
      </c>
      <c r="BH217" s="70">
        <f t="shared" si="138"/>
        <v>-7977.924166666673</v>
      </c>
      <c r="BI217" s="70">
        <f t="shared" si="138"/>
        <v>-155.84874999998851</v>
      </c>
      <c r="BJ217" s="70">
        <f t="shared" si="138"/>
        <v>7101.8266666666723</v>
      </c>
      <c r="BK217" s="70">
        <f t="shared" si="138"/>
        <v>5427.7020833333445</v>
      </c>
      <c r="BL217" s="70">
        <f t="shared" si="138"/>
        <v>3189.1774999999943</v>
      </c>
      <c r="BM217" s="70">
        <f t="shared" si="138"/>
        <v>3721.2279166666549</v>
      </c>
      <c r="BN217" s="70">
        <f t="shared" si="138"/>
        <v>11543.303333333339</v>
      </c>
      <c r="BO217" s="70">
        <f t="shared" si="138"/>
        <v>18836.67875000001</v>
      </c>
      <c r="BP217" s="70">
        <f t="shared" si="138"/>
        <v>24452.579166666648</v>
      </c>
      <c r="BQ217" s="70">
        <f t="shared" si="138"/>
        <v>25549.029583333333</v>
      </c>
      <c r="BR217" s="70">
        <f t="shared" si="138"/>
        <v>25797.604999999989</v>
      </c>
      <c r="BS217" s="70">
        <f t="shared" si="138"/>
        <v>32526.580416666668</v>
      </c>
      <c r="BT217" s="70">
        <f t="shared" si="138"/>
        <v>39255.555833333317</v>
      </c>
      <c r="BU217" s="70">
        <f t="shared" si="138"/>
        <v>47077.631249999999</v>
      </c>
      <c r="BV217" s="70">
        <f t="shared" si="138"/>
        <v>52657.831666666658</v>
      </c>
      <c r="BW217" s="70">
        <f t="shared" si="138"/>
        <v>52661.182083333333</v>
      </c>
      <c r="BX217" s="70">
        <f t="shared" si="138"/>
        <v>50422.657499999979</v>
      </c>
      <c r="BY217" s="70">
        <f t="shared" si="138"/>
        <v>51519.107916666668</v>
      </c>
      <c r="BZ217" s="70">
        <f t="shared" si="138"/>
        <v>56061.883333333331</v>
      </c>
      <c r="CA217" s="70">
        <f t="shared" si="138"/>
        <v>60604.658750000002</v>
      </c>
      <c r="CB217" s="70">
        <f t="shared" si="138"/>
        <v>62905.559166666666</v>
      </c>
      <c r="CC217" s="70">
        <f t="shared" si="138"/>
        <v>60722.70958333333</v>
      </c>
      <c r="CD217" s="70">
        <f>SUM(BF217:BQ217)</f>
        <v>51522.777500000011</v>
      </c>
      <c r="CE217" s="70">
        <f>SUM(BR217:CC217)</f>
        <v>592212.96249999991</v>
      </c>
      <c r="CF217" s="2"/>
      <c r="CG217" s="70">
        <f t="shared" ref="CG217:DD217" si="139">CG214-CG216</f>
        <v>49082.033333333326</v>
      </c>
      <c r="CH217" s="70">
        <f t="shared" si="139"/>
        <v>59065.258750000001</v>
      </c>
      <c r="CI217" s="70">
        <f t="shared" si="139"/>
        <v>70472.324166666644</v>
      </c>
      <c r="CJ217" s="70">
        <f t="shared" si="139"/>
        <v>81081.229583333377</v>
      </c>
      <c r="CK217" s="70">
        <f t="shared" si="139"/>
        <v>90935.095000000045</v>
      </c>
      <c r="CL217" s="70">
        <f t="shared" si="139"/>
        <v>88534.080416666708</v>
      </c>
      <c r="CM217" s="70">
        <f t="shared" si="139"/>
        <v>85378.025833333348</v>
      </c>
      <c r="CN217" s="70">
        <f t="shared" si="139"/>
        <v>86008.391249999986</v>
      </c>
      <c r="CO217" s="70">
        <f t="shared" si="139"/>
        <v>96617.29666666672</v>
      </c>
      <c r="CP217" s="70">
        <f t="shared" si="139"/>
        <v>106514.28208333337</v>
      </c>
      <c r="CQ217" s="70">
        <f t="shared" si="139"/>
        <v>114091.80750000004</v>
      </c>
      <c r="CR217" s="70">
        <f t="shared" si="139"/>
        <v>115477.21291666671</v>
      </c>
      <c r="CS217" s="70">
        <f t="shared" si="139"/>
        <v>115838.51833333337</v>
      </c>
      <c r="CT217" s="70">
        <f t="shared" si="139"/>
        <v>124980.46375</v>
      </c>
      <c r="CU217" s="70">
        <f t="shared" si="139"/>
        <v>134122.40916666665</v>
      </c>
      <c r="CV217" s="70">
        <f t="shared" si="139"/>
        <v>144731.31458333333</v>
      </c>
      <c r="CW217" s="70">
        <f t="shared" si="139"/>
        <v>152265.72</v>
      </c>
      <c r="CX217" s="70">
        <f t="shared" si="139"/>
        <v>152184.16541666666</v>
      </c>
      <c r="CY217" s="70">
        <f t="shared" si="139"/>
        <v>149028.11083333328</v>
      </c>
      <c r="CZ217" s="70">
        <f t="shared" si="139"/>
        <v>150413.51624999996</v>
      </c>
      <c r="DA217" s="70">
        <f t="shared" si="139"/>
        <v>156621.54166666663</v>
      </c>
      <c r="DB217" s="70">
        <f t="shared" si="139"/>
        <v>162829.5670833333</v>
      </c>
      <c r="DC217" s="70">
        <f t="shared" si="139"/>
        <v>165963.09249999997</v>
      </c>
      <c r="DD217" s="70">
        <f t="shared" si="139"/>
        <v>162947.61791666664</v>
      </c>
      <c r="DE217" s="70">
        <f>SUM(CG217:CR217)</f>
        <v>1043257.0375000002</v>
      </c>
      <c r="DF217" s="70">
        <f>SUM(CS217:DD217)</f>
        <v>1771926.0374999999</v>
      </c>
      <c r="DG217"/>
      <c r="DH217"/>
    </row>
    <row r="218" spans="1:112" hidden="1" x14ac:dyDescent="0.2">
      <c r="A218" s="1"/>
      <c r="B218" s="35" t="s">
        <v>140</v>
      </c>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2"/>
      <c r="AE218" s="69">
        <f t="shared" ref="AE218:BB218" si="140">MAX(0,AE217)*smp_tax_rate</f>
        <v>5485.4166666666715</v>
      </c>
      <c r="AF218" s="69">
        <f t="shared" si="140"/>
        <v>7725.1730208333383</v>
      </c>
      <c r="AG218" s="69">
        <f t="shared" si="140"/>
        <v>10284.929375000005</v>
      </c>
      <c r="AH218" s="69">
        <f t="shared" si="140"/>
        <v>12664.685729166671</v>
      </c>
      <c r="AI218" s="69">
        <f t="shared" si="140"/>
        <v>14874.442083333339</v>
      </c>
      <c r="AJ218" s="69">
        <f t="shared" si="140"/>
        <v>14344.198437500005</v>
      </c>
      <c r="AK218" s="69">
        <f t="shared" si="140"/>
        <v>13643.954791666671</v>
      </c>
      <c r="AL218" s="69">
        <f t="shared" si="140"/>
        <v>13791.211145833338</v>
      </c>
      <c r="AM218" s="69">
        <f t="shared" si="140"/>
        <v>16170.967500000004</v>
      </c>
      <c r="AN218" s="69">
        <f t="shared" si="140"/>
        <v>18390.72385416667</v>
      </c>
      <c r="AO218" s="69">
        <f t="shared" si="140"/>
        <v>20092.980208333338</v>
      </c>
      <c r="AP218" s="69">
        <f t="shared" si="140"/>
        <v>20410.236562500006</v>
      </c>
      <c r="AQ218" s="69">
        <f t="shared" si="140"/>
        <v>20489.99291666667</v>
      </c>
      <c r="AR218" s="69">
        <f t="shared" si="140"/>
        <v>22539.749270833338</v>
      </c>
      <c r="AS218" s="69">
        <f t="shared" si="140"/>
        <v>24589.505625000005</v>
      </c>
      <c r="AT218" s="69">
        <f t="shared" si="140"/>
        <v>26969.261979166673</v>
      </c>
      <c r="AU218" s="69">
        <f t="shared" si="140"/>
        <v>28661.518333333337</v>
      </c>
      <c r="AV218" s="69">
        <f t="shared" si="140"/>
        <v>28648.774687500005</v>
      </c>
      <c r="AW218" s="69">
        <f t="shared" si="140"/>
        <v>27948.531041666673</v>
      </c>
      <c r="AX218" s="69">
        <f t="shared" si="140"/>
        <v>28265.787395833337</v>
      </c>
      <c r="AY218" s="69">
        <f t="shared" si="140"/>
        <v>29655.543750000004</v>
      </c>
      <c r="AZ218" s="69">
        <f t="shared" si="140"/>
        <v>31045.300104166672</v>
      </c>
      <c r="BA218" s="69">
        <f t="shared" si="140"/>
        <v>31747.55645833334</v>
      </c>
      <c r="BB218" s="69">
        <f t="shared" si="140"/>
        <v>31074.812812500004</v>
      </c>
      <c r="BC218" s="70">
        <f>SUM(AE218:AP218)</f>
        <v>167878.91937500006</v>
      </c>
      <c r="BD218" s="70">
        <f>SUM(AQ218:BB218)</f>
        <v>331636.33437500003</v>
      </c>
      <c r="BE218" s="2"/>
      <c r="BF218" s="69">
        <f t="shared" ref="BF218:CC218" si="141">MAX(0,BF217)*smp_tax_rate</f>
        <v>0</v>
      </c>
      <c r="BG218" s="69">
        <f t="shared" si="141"/>
        <v>0</v>
      </c>
      <c r="BH218" s="69">
        <f t="shared" si="141"/>
        <v>0</v>
      </c>
      <c r="BI218" s="69">
        <f t="shared" si="141"/>
        <v>0</v>
      </c>
      <c r="BJ218" s="69">
        <f t="shared" si="141"/>
        <v>1775.4566666666681</v>
      </c>
      <c r="BK218" s="69">
        <f t="shared" si="141"/>
        <v>1356.9255208333361</v>
      </c>
      <c r="BL218" s="69">
        <f t="shared" si="141"/>
        <v>797.29437499999858</v>
      </c>
      <c r="BM218" s="69">
        <f t="shared" si="141"/>
        <v>930.30697916666372</v>
      </c>
      <c r="BN218" s="69">
        <f t="shared" si="141"/>
        <v>2885.8258333333347</v>
      </c>
      <c r="BO218" s="69">
        <f t="shared" si="141"/>
        <v>4709.1696875000025</v>
      </c>
      <c r="BP218" s="69">
        <f t="shared" si="141"/>
        <v>6113.1447916666621</v>
      </c>
      <c r="BQ218" s="69">
        <f t="shared" si="141"/>
        <v>6387.2573958333332</v>
      </c>
      <c r="BR218" s="69">
        <f t="shared" si="141"/>
        <v>6449.4012499999972</v>
      </c>
      <c r="BS218" s="69">
        <f t="shared" si="141"/>
        <v>8131.6451041666669</v>
      </c>
      <c r="BT218" s="69">
        <f t="shared" si="141"/>
        <v>9813.8889583333294</v>
      </c>
      <c r="BU218" s="69">
        <f t="shared" si="141"/>
        <v>11769.4078125</v>
      </c>
      <c r="BV218" s="69">
        <f t="shared" si="141"/>
        <v>13164.457916666664</v>
      </c>
      <c r="BW218" s="69">
        <f t="shared" si="141"/>
        <v>13165.295520833333</v>
      </c>
      <c r="BX218" s="69">
        <f t="shared" si="141"/>
        <v>12605.664374999995</v>
      </c>
      <c r="BY218" s="69">
        <f t="shared" si="141"/>
        <v>12879.776979166667</v>
      </c>
      <c r="BZ218" s="69">
        <f t="shared" si="141"/>
        <v>14015.470833333333</v>
      </c>
      <c r="CA218" s="69">
        <f t="shared" si="141"/>
        <v>15151.164687500001</v>
      </c>
      <c r="CB218" s="69">
        <f t="shared" si="141"/>
        <v>15726.389791666666</v>
      </c>
      <c r="CC218" s="69">
        <f t="shared" si="141"/>
        <v>15180.677395833332</v>
      </c>
      <c r="CD218" s="70">
        <f>SUM(BF218:BQ218)</f>
        <v>24955.381249999999</v>
      </c>
      <c r="CE218" s="70">
        <f>SUM(BR218:CC218)</f>
        <v>148053.24062499998</v>
      </c>
      <c r="CF218" s="2"/>
      <c r="CG218" s="69">
        <f t="shared" ref="CG218:DD218" si="142">MAX(0,CG217)*smp_tax_rate</f>
        <v>12270.508333333331</v>
      </c>
      <c r="CH218" s="69">
        <f t="shared" si="142"/>
        <v>14766.3146875</v>
      </c>
      <c r="CI218" s="69">
        <f t="shared" si="142"/>
        <v>17618.081041666661</v>
      </c>
      <c r="CJ218" s="69">
        <f t="shared" si="142"/>
        <v>20270.307395833344</v>
      </c>
      <c r="CK218" s="69">
        <f t="shared" si="142"/>
        <v>22733.773750000011</v>
      </c>
      <c r="CL218" s="69">
        <f t="shared" si="142"/>
        <v>22133.520104166677</v>
      </c>
      <c r="CM218" s="69">
        <f t="shared" si="142"/>
        <v>21344.506458333337</v>
      </c>
      <c r="CN218" s="69">
        <f t="shared" si="142"/>
        <v>21502.097812499997</v>
      </c>
      <c r="CO218" s="69">
        <f t="shared" si="142"/>
        <v>24154.32416666668</v>
      </c>
      <c r="CP218" s="69">
        <f t="shared" si="142"/>
        <v>26628.570520833342</v>
      </c>
      <c r="CQ218" s="69">
        <f t="shared" si="142"/>
        <v>28522.95187500001</v>
      </c>
      <c r="CR218" s="69">
        <f t="shared" si="142"/>
        <v>28869.303229166679</v>
      </c>
      <c r="CS218" s="69">
        <f t="shared" si="142"/>
        <v>28959.629583333342</v>
      </c>
      <c r="CT218" s="69">
        <f t="shared" si="142"/>
        <v>31245.115937499999</v>
      </c>
      <c r="CU218" s="69">
        <f t="shared" si="142"/>
        <v>33530.602291666662</v>
      </c>
      <c r="CV218" s="69">
        <f t="shared" si="142"/>
        <v>36182.828645833331</v>
      </c>
      <c r="CW218" s="69">
        <f t="shared" si="142"/>
        <v>38066.43</v>
      </c>
      <c r="CX218" s="69">
        <f t="shared" si="142"/>
        <v>38046.041354166664</v>
      </c>
      <c r="CY218" s="69">
        <f t="shared" si="142"/>
        <v>37257.02770833332</v>
      </c>
      <c r="CZ218" s="69">
        <f t="shared" si="142"/>
        <v>37603.379062499989</v>
      </c>
      <c r="DA218" s="69">
        <f t="shared" si="142"/>
        <v>39155.385416666657</v>
      </c>
      <c r="DB218" s="69">
        <f t="shared" si="142"/>
        <v>40707.391770833325</v>
      </c>
      <c r="DC218" s="69">
        <f t="shared" si="142"/>
        <v>41490.773124999992</v>
      </c>
      <c r="DD218" s="69">
        <f t="shared" si="142"/>
        <v>40736.90447916666</v>
      </c>
      <c r="DE218" s="70">
        <f>SUM(CG218:CR218)</f>
        <v>260814.25937500005</v>
      </c>
      <c r="DF218" s="70">
        <f>SUM(CS218:DD218)</f>
        <v>442981.50937499997</v>
      </c>
      <c r="DG218"/>
      <c r="DH218"/>
    </row>
    <row r="219" spans="1:112" hidden="1" x14ac:dyDescent="0.2">
      <c r="A219" s="1"/>
      <c r="B219" s="35" t="s">
        <v>141</v>
      </c>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2"/>
      <c r="AE219" s="70">
        <f t="shared" ref="AE219:BB219" si="143">AE217-AE218</f>
        <v>16456.250000000015</v>
      </c>
      <c r="AF219" s="70">
        <f t="shared" si="143"/>
        <v>23175.519062500014</v>
      </c>
      <c r="AG219" s="70">
        <f t="shared" si="143"/>
        <v>30854.788125000014</v>
      </c>
      <c r="AH219" s="70">
        <f t="shared" si="143"/>
        <v>37994.057187500017</v>
      </c>
      <c r="AI219" s="70">
        <f t="shared" si="143"/>
        <v>44623.326250000013</v>
      </c>
      <c r="AJ219" s="70">
        <f t="shared" si="143"/>
        <v>43032.595312500016</v>
      </c>
      <c r="AK219" s="70">
        <f t="shared" si="143"/>
        <v>40931.864375000012</v>
      </c>
      <c r="AL219" s="70">
        <f t="shared" si="143"/>
        <v>41373.633437500015</v>
      </c>
      <c r="AM219" s="70">
        <f t="shared" si="143"/>
        <v>48512.902500000011</v>
      </c>
      <c r="AN219" s="70">
        <f t="shared" si="143"/>
        <v>55172.171562500007</v>
      </c>
      <c r="AO219" s="70">
        <f t="shared" si="143"/>
        <v>60278.940625000017</v>
      </c>
      <c r="AP219" s="70">
        <f t="shared" si="143"/>
        <v>61230.709687500013</v>
      </c>
      <c r="AQ219" s="70">
        <f t="shared" si="143"/>
        <v>61469.978750000009</v>
      </c>
      <c r="AR219" s="70">
        <f t="shared" si="143"/>
        <v>67619.24781250002</v>
      </c>
      <c r="AS219" s="70">
        <f t="shared" si="143"/>
        <v>73768.516875000016</v>
      </c>
      <c r="AT219" s="70">
        <f t="shared" si="143"/>
        <v>80907.785937500012</v>
      </c>
      <c r="AU219" s="70">
        <f t="shared" si="143"/>
        <v>85984.555000000008</v>
      </c>
      <c r="AV219" s="70">
        <f t="shared" si="143"/>
        <v>85946.324062500018</v>
      </c>
      <c r="AW219" s="70">
        <f t="shared" si="143"/>
        <v>83845.593125000014</v>
      </c>
      <c r="AX219" s="70">
        <f t="shared" si="143"/>
        <v>84797.36218750001</v>
      </c>
      <c r="AY219" s="70">
        <f t="shared" si="143"/>
        <v>88966.631250000006</v>
      </c>
      <c r="AZ219" s="70">
        <f t="shared" si="143"/>
        <v>93135.900312500016</v>
      </c>
      <c r="BA219" s="70">
        <f t="shared" si="143"/>
        <v>95242.669375000027</v>
      </c>
      <c r="BB219" s="70">
        <f t="shared" si="143"/>
        <v>93224.438437500008</v>
      </c>
      <c r="BC219" s="70">
        <f>SUM(AE219:AP219)</f>
        <v>503636.75812500017</v>
      </c>
      <c r="BD219" s="70">
        <f>SUM(AQ219:BB219)</f>
        <v>994909.00312500028</v>
      </c>
      <c r="BE219" s="2"/>
      <c r="BF219" s="70">
        <f t="shared" ref="BF219:CC219" si="144">BF217-BF218</f>
        <v>-23764.875</v>
      </c>
      <c r="BG219" s="70">
        <f t="shared" si="144"/>
        <v>-16400.099583333333</v>
      </c>
      <c r="BH219" s="70">
        <f t="shared" si="144"/>
        <v>-7977.924166666673</v>
      </c>
      <c r="BI219" s="70">
        <f t="shared" si="144"/>
        <v>-155.84874999998851</v>
      </c>
      <c r="BJ219" s="70">
        <f t="shared" si="144"/>
        <v>5326.3700000000044</v>
      </c>
      <c r="BK219" s="70">
        <f t="shared" si="144"/>
        <v>4070.7765625000084</v>
      </c>
      <c r="BL219" s="70">
        <f t="shared" si="144"/>
        <v>2391.8831249999957</v>
      </c>
      <c r="BM219" s="70">
        <f t="shared" si="144"/>
        <v>2790.9209374999909</v>
      </c>
      <c r="BN219" s="70">
        <f t="shared" si="144"/>
        <v>8657.4775000000045</v>
      </c>
      <c r="BO219" s="70">
        <f t="shared" si="144"/>
        <v>14127.509062500008</v>
      </c>
      <c r="BP219" s="70">
        <f t="shared" si="144"/>
        <v>18339.434374999986</v>
      </c>
      <c r="BQ219" s="70">
        <f t="shared" si="144"/>
        <v>19161.772187499999</v>
      </c>
      <c r="BR219" s="70">
        <f t="shared" si="144"/>
        <v>19348.203749999993</v>
      </c>
      <c r="BS219" s="70">
        <f t="shared" si="144"/>
        <v>24394.935312500002</v>
      </c>
      <c r="BT219" s="70">
        <f t="shared" si="144"/>
        <v>29441.666874999988</v>
      </c>
      <c r="BU219" s="70">
        <f t="shared" si="144"/>
        <v>35308.223437499997</v>
      </c>
      <c r="BV219" s="70">
        <f t="shared" si="144"/>
        <v>39493.373749999992</v>
      </c>
      <c r="BW219" s="70">
        <f t="shared" si="144"/>
        <v>39495.886562500003</v>
      </c>
      <c r="BX219" s="70">
        <f t="shared" si="144"/>
        <v>37816.993124999986</v>
      </c>
      <c r="BY219" s="70">
        <f t="shared" si="144"/>
        <v>38639.330937500003</v>
      </c>
      <c r="BZ219" s="70">
        <f t="shared" si="144"/>
        <v>42046.412499999999</v>
      </c>
      <c r="CA219" s="70">
        <f t="shared" si="144"/>
        <v>45453.494062500002</v>
      </c>
      <c r="CB219" s="70">
        <f t="shared" si="144"/>
        <v>47179.169374999998</v>
      </c>
      <c r="CC219" s="70">
        <f t="shared" si="144"/>
        <v>45542.032187499994</v>
      </c>
      <c r="CD219" s="70">
        <f>SUM(BF219:BQ219)</f>
        <v>26567.396250000005</v>
      </c>
      <c r="CE219" s="70">
        <f>SUM(BR219:CC219)</f>
        <v>444159.72187499993</v>
      </c>
      <c r="CF219" s="2"/>
      <c r="CG219" s="70">
        <f t="shared" ref="CG219:DD219" si="145">CG217-CG218</f>
        <v>36811.524999999994</v>
      </c>
      <c r="CH219" s="70">
        <f t="shared" si="145"/>
        <v>44298.944062499999</v>
      </c>
      <c r="CI219" s="70">
        <f t="shared" si="145"/>
        <v>52854.243124999979</v>
      </c>
      <c r="CJ219" s="70">
        <f t="shared" si="145"/>
        <v>60810.922187500037</v>
      </c>
      <c r="CK219" s="70">
        <f t="shared" si="145"/>
        <v>68201.321250000037</v>
      </c>
      <c r="CL219" s="70">
        <f t="shared" si="145"/>
        <v>66400.560312500034</v>
      </c>
      <c r="CM219" s="70">
        <f t="shared" si="145"/>
        <v>64033.519375000011</v>
      </c>
      <c r="CN219" s="70">
        <f t="shared" si="145"/>
        <v>64506.29343749999</v>
      </c>
      <c r="CO219" s="70">
        <f t="shared" si="145"/>
        <v>72462.972500000033</v>
      </c>
      <c r="CP219" s="70">
        <f t="shared" si="145"/>
        <v>79885.71156250003</v>
      </c>
      <c r="CQ219" s="70">
        <f t="shared" si="145"/>
        <v>85568.855625000026</v>
      </c>
      <c r="CR219" s="70">
        <f t="shared" si="145"/>
        <v>86607.90968750004</v>
      </c>
      <c r="CS219" s="70">
        <f t="shared" si="145"/>
        <v>86878.888750000027</v>
      </c>
      <c r="CT219" s="70">
        <f t="shared" si="145"/>
        <v>93735.347812499997</v>
      </c>
      <c r="CU219" s="70">
        <f t="shared" si="145"/>
        <v>100591.80687499998</v>
      </c>
      <c r="CV219" s="70">
        <f t="shared" si="145"/>
        <v>108548.48593749999</v>
      </c>
      <c r="CW219" s="70">
        <f t="shared" si="145"/>
        <v>114199.29000000001</v>
      </c>
      <c r="CX219" s="70">
        <f t="shared" si="145"/>
        <v>114138.12406249999</v>
      </c>
      <c r="CY219" s="70">
        <f t="shared" si="145"/>
        <v>111771.08312499996</v>
      </c>
      <c r="CZ219" s="70">
        <f t="shared" si="145"/>
        <v>112810.13718749996</v>
      </c>
      <c r="DA219" s="70">
        <f t="shared" si="145"/>
        <v>117466.15624999997</v>
      </c>
      <c r="DB219" s="70">
        <f t="shared" si="145"/>
        <v>122122.17531249998</v>
      </c>
      <c r="DC219" s="70">
        <f t="shared" si="145"/>
        <v>124472.31937499998</v>
      </c>
      <c r="DD219" s="70">
        <f t="shared" si="145"/>
        <v>122210.71343749997</v>
      </c>
      <c r="DE219" s="70">
        <f>SUM(CG219:CR219)</f>
        <v>782442.77812500019</v>
      </c>
      <c r="DF219" s="70">
        <f>SUM(CS219:DD219)</f>
        <v>1328944.528125</v>
      </c>
      <c r="DG219"/>
      <c r="DH219"/>
    </row>
    <row r="220" spans="1:112" hidden="1" x14ac:dyDescent="0.2">
      <c r="A220" s="1"/>
      <c r="B220" s="35" t="s">
        <v>142</v>
      </c>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2"/>
      <c r="AE220" s="32">
        <f t="shared" ref="AE220:BB220" si="146">IFERROR(AE219/AE190,0)</f>
        <v>4.5711805555555596E-2</v>
      </c>
      <c r="AF220" s="32">
        <f t="shared" si="146"/>
        <v>6.1801384166666702E-2</v>
      </c>
      <c r="AG220" s="32">
        <f t="shared" si="146"/>
        <v>7.8711194196428608E-2</v>
      </c>
      <c r="AH220" s="32">
        <f t="shared" si="146"/>
        <v>9.3122689185049068E-2</v>
      </c>
      <c r="AI220" s="32">
        <f t="shared" si="146"/>
        <v>0.10549249704491728</v>
      </c>
      <c r="AJ220" s="32">
        <f t="shared" si="146"/>
        <v>0.1029487926136364</v>
      </c>
      <c r="AK220" s="32">
        <f t="shared" si="146"/>
        <v>9.9349185376213622E-2</v>
      </c>
      <c r="AL220" s="32">
        <f t="shared" si="146"/>
        <v>0.1004214403822816</v>
      </c>
      <c r="AM220" s="32">
        <f t="shared" si="146"/>
        <v>0.11334790303738321</v>
      </c>
      <c r="AN220" s="32">
        <f t="shared" si="146"/>
        <v>0.12454214799661401</v>
      </c>
      <c r="AO220" s="32">
        <f t="shared" si="146"/>
        <v>0.13277299697136569</v>
      </c>
      <c r="AP220" s="32">
        <f t="shared" si="146"/>
        <v>0.13457298832417586</v>
      </c>
      <c r="AQ220" s="32">
        <f t="shared" si="146"/>
        <v>0.13480258497807018</v>
      </c>
      <c r="AR220" s="32">
        <f t="shared" si="146"/>
        <v>0.14387074002659578</v>
      </c>
      <c r="AS220" s="32">
        <f t="shared" si="146"/>
        <v>0.15241429106404961</v>
      </c>
      <c r="AT220" s="32">
        <f t="shared" si="146"/>
        <v>0.16181557187500004</v>
      </c>
      <c r="AU220" s="32">
        <f t="shared" si="146"/>
        <v>0.16826723091976517</v>
      </c>
      <c r="AV220" s="32">
        <f t="shared" si="146"/>
        <v>0.16852220404411769</v>
      </c>
      <c r="AW220" s="32">
        <f t="shared" si="146"/>
        <v>0.16636030381944447</v>
      </c>
      <c r="AX220" s="32">
        <f t="shared" si="146"/>
        <v>0.16791556868811883</v>
      </c>
      <c r="AY220" s="32">
        <f t="shared" si="146"/>
        <v>0.17275074029126214</v>
      </c>
      <c r="AZ220" s="32">
        <f t="shared" si="146"/>
        <v>0.17740171488095241</v>
      </c>
      <c r="BA220" s="32">
        <f t="shared" si="146"/>
        <v>0.179703149764151</v>
      </c>
      <c r="BB220" s="32">
        <f t="shared" si="146"/>
        <v>0.17757035892857145</v>
      </c>
      <c r="BC220" s="76">
        <f>IFERROR(SUM(AE219:AP219)/SUM(AE190:AP190),0)</f>
        <v>0.10113187914156629</v>
      </c>
      <c r="BD220" s="76">
        <f>IFERROR(SUM(AQ219:BB219)/SUM(AQ190:BB190),0)</f>
        <v>0.16485650424606466</v>
      </c>
      <c r="BE220" s="2"/>
      <c r="BF220" s="32">
        <f t="shared" ref="BF220:CC220" si="147">IFERROR(BF219/BF190,0)</f>
        <v>-7.7662990196078432E-2</v>
      </c>
      <c r="BG220" s="32">
        <f t="shared" si="147"/>
        <v>-5.1451292810457516E-2</v>
      </c>
      <c r="BH220" s="32">
        <f t="shared" si="147"/>
        <v>-2.3943349839935995E-2</v>
      </c>
      <c r="BI220" s="32">
        <f t="shared" si="147"/>
        <v>-4.4939085928485733E-4</v>
      </c>
      <c r="BJ220" s="32">
        <f t="shared" si="147"/>
        <v>1.4813989709358934E-2</v>
      </c>
      <c r="BK220" s="32">
        <f t="shared" si="147"/>
        <v>1.1457294012102472E-2</v>
      </c>
      <c r="BL220" s="32">
        <f t="shared" si="147"/>
        <v>6.8300489006282005E-3</v>
      </c>
      <c r="BM220" s="32">
        <f t="shared" si="147"/>
        <v>7.9695058181039145E-3</v>
      </c>
      <c r="BN220" s="32">
        <f t="shared" si="147"/>
        <v>2.379735431555801E-2</v>
      </c>
      <c r="BO220" s="32">
        <f t="shared" si="147"/>
        <v>3.751828193467005E-2</v>
      </c>
      <c r="BP220" s="32">
        <f t="shared" si="147"/>
        <v>4.7523799883389443E-2</v>
      </c>
      <c r="BQ220" s="32">
        <f t="shared" si="147"/>
        <v>4.9545629444085325E-2</v>
      </c>
      <c r="BR220" s="32">
        <f t="shared" si="147"/>
        <v>4.9917966331269333E-2</v>
      </c>
      <c r="BS220" s="32">
        <f t="shared" si="147"/>
        <v>6.106366786608261E-2</v>
      </c>
      <c r="BT220" s="32">
        <f t="shared" si="147"/>
        <v>7.1564576750121511E-2</v>
      </c>
      <c r="BU220" s="32">
        <f t="shared" si="147"/>
        <v>8.3078172794117638E-2</v>
      </c>
      <c r="BV220" s="32">
        <f t="shared" si="147"/>
        <v>9.0925230229077919E-2</v>
      </c>
      <c r="BW220" s="32">
        <f t="shared" si="147"/>
        <v>9.1109311562860451E-2</v>
      </c>
      <c r="BX220" s="32">
        <f t="shared" si="147"/>
        <v>8.8274960609243669E-2</v>
      </c>
      <c r="BY220" s="32">
        <f t="shared" si="147"/>
        <v>9.0015913657542232E-2</v>
      </c>
      <c r="BZ220" s="32">
        <f t="shared" si="147"/>
        <v>9.605119931467733E-2</v>
      </c>
      <c r="CA220" s="32">
        <f t="shared" si="147"/>
        <v>0.1018565693277311</v>
      </c>
      <c r="CB220" s="32">
        <f t="shared" si="147"/>
        <v>0.10472623612652608</v>
      </c>
      <c r="CC220" s="32">
        <f t="shared" si="147"/>
        <v>0.10205497408963583</v>
      </c>
      <c r="CD220" s="76">
        <f>IFERROR(SUM(BF219:BQ219)/SUM(BF190:BQ190),0)</f>
        <v>6.2762570871722195E-3</v>
      </c>
      <c r="CE220" s="76">
        <f>IFERROR(SUM(BR219:CC219)/SUM(BR190:CC190),0)</f>
        <v>8.6585062015692757E-2</v>
      </c>
      <c r="CF220" s="2"/>
      <c r="CG220" s="32">
        <f t="shared" ref="CG220:DD220" si="148">IFERROR(CG219/CG190,0)</f>
        <v>9.2958396464646445E-2</v>
      </c>
      <c r="CH220" s="32">
        <f t="shared" si="148"/>
        <v>0.10739137954545454</v>
      </c>
      <c r="CI220" s="32">
        <f t="shared" si="148"/>
        <v>0.12257477533627083</v>
      </c>
      <c r="CJ220" s="32">
        <f t="shared" si="148"/>
        <v>0.13549670719139936</v>
      </c>
      <c r="CK220" s="32">
        <f t="shared" si="148"/>
        <v>0.14657494358478407</v>
      </c>
      <c r="CL220" s="32">
        <f t="shared" si="148"/>
        <v>0.14441183191061335</v>
      </c>
      <c r="CM220" s="32">
        <f t="shared" si="148"/>
        <v>0.14129196684686676</v>
      </c>
      <c r="CN220" s="32">
        <f t="shared" si="148"/>
        <v>0.14233515762908205</v>
      </c>
      <c r="CO220" s="32">
        <f t="shared" si="148"/>
        <v>0.15391455501274431</v>
      </c>
      <c r="CP220" s="32">
        <f t="shared" si="148"/>
        <v>0.16393538182331216</v>
      </c>
      <c r="CQ220" s="32">
        <f t="shared" si="148"/>
        <v>0.17134332323788548</v>
      </c>
      <c r="CR220" s="32">
        <f t="shared" si="148"/>
        <v>0.17304277659840167</v>
      </c>
      <c r="CS220" s="32">
        <f t="shared" si="148"/>
        <v>0.17320352621610849</v>
      </c>
      <c r="CT220" s="32">
        <f t="shared" si="148"/>
        <v>0.18130628203578336</v>
      </c>
      <c r="CU220" s="32">
        <f t="shared" si="148"/>
        <v>0.18894028338655142</v>
      </c>
      <c r="CV220" s="32">
        <f t="shared" si="148"/>
        <v>0.19736088352272727</v>
      </c>
      <c r="CW220" s="32">
        <f t="shared" si="148"/>
        <v>0.20316543319694005</v>
      </c>
      <c r="CX220" s="32">
        <f t="shared" si="148"/>
        <v>0.20345476659982173</v>
      </c>
      <c r="CY220" s="32">
        <f t="shared" si="148"/>
        <v>0.20160729279401146</v>
      </c>
      <c r="CZ220" s="32">
        <f t="shared" si="148"/>
        <v>0.20307855479297923</v>
      </c>
      <c r="DA220" s="32">
        <f t="shared" si="148"/>
        <v>0.20735420344218883</v>
      </c>
      <c r="DB220" s="32">
        <f t="shared" si="148"/>
        <v>0.21146697023809521</v>
      </c>
      <c r="DC220" s="32">
        <f t="shared" si="148"/>
        <v>0.2135031207118353</v>
      </c>
      <c r="DD220" s="32">
        <f t="shared" si="148"/>
        <v>0.21162028300865796</v>
      </c>
      <c r="DE220" s="76">
        <f>IFERROR(SUM(CG219:CR219)/SUM(CG190:CR190),0)</f>
        <v>0.14283365792716324</v>
      </c>
      <c r="DF220" s="76">
        <f>IFERROR(SUM(CS219:DD219)/SUM(CS190:DD190),0)</f>
        <v>0.20018747128492881</v>
      </c>
      <c r="DG220"/>
      <c r="DH220"/>
    </row>
    <row r="221" spans="1:112" hidden="1" x14ac:dyDescent="0.2">
      <c r="A221" s="1"/>
      <c r="B221" s="35" t="s">
        <v>143</v>
      </c>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2"/>
      <c r="AE221" s="69">
        <f>smp_open_ar</f>
        <v>620000</v>
      </c>
      <c r="AF221" s="69">
        <f t="shared" ref="AF221:BB221" si="149">AE222</f>
        <v>660000</v>
      </c>
      <c r="AG221" s="69">
        <f t="shared" si="149"/>
        <v>687500</v>
      </c>
      <c r="AH221" s="69">
        <f t="shared" si="149"/>
        <v>718666.66666666663</v>
      </c>
      <c r="AI221" s="69">
        <f t="shared" si="149"/>
        <v>748000</v>
      </c>
      <c r="AJ221" s="69">
        <f t="shared" si="149"/>
        <v>775500</v>
      </c>
      <c r="AK221" s="69">
        <f t="shared" si="149"/>
        <v>766333.33333333337</v>
      </c>
      <c r="AL221" s="69">
        <f t="shared" si="149"/>
        <v>755333.33333333337</v>
      </c>
      <c r="AM221" s="69">
        <f t="shared" si="149"/>
        <v>755333.33333333337</v>
      </c>
      <c r="AN221" s="69">
        <f t="shared" si="149"/>
        <v>784666.66666666663</v>
      </c>
      <c r="AO221" s="69">
        <f t="shared" si="149"/>
        <v>812166.66666666663</v>
      </c>
      <c r="AP221" s="69">
        <f t="shared" si="149"/>
        <v>832333.33333333337</v>
      </c>
      <c r="AQ221" s="69">
        <f t="shared" si="149"/>
        <v>834166.66666666663</v>
      </c>
      <c r="AR221" s="69">
        <f t="shared" si="149"/>
        <v>836000</v>
      </c>
      <c r="AS221" s="69">
        <f t="shared" si="149"/>
        <v>861666.66666666663</v>
      </c>
      <c r="AT221" s="69">
        <f t="shared" si="149"/>
        <v>887333.33333333337</v>
      </c>
      <c r="AU221" s="69">
        <f t="shared" si="149"/>
        <v>916666.66666666663</v>
      </c>
      <c r="AV221" s="69">
        <f t="shared" si="149"/>
        <v>936833.33333333337</v>
      </c>
      <c r="AW221" s="69">
        <f t="shared" si="149"/>
        <v>935000</v>
      </c>
      <c r="AX221" s="69">
        <f t="shared" si="149"/>
        <v>924000</v>
      </c>
      <c r="AY221" s="69">
        <f t="shared" si="149"/>
        <v>925833.33333333337</v>
      </c>
      <c r="AZ221" s="69">
        <f t="shared" si="149"/>
        <v>944166.66666666663</v>
      </c>
      <c r="BA221" s="69">
        <f t="shared" si="149"/>
        <v>962500</v>
      </c>
      <c r="BB221" s="69">
        <f t="shared" si="149"/>
        <v>971666.66666666663</v>
      </c>
      <c r="BC221" s="70">
        <f>AP221</f>
        <v>832333.33333333337</v>
      </c>
      <c r="BD221" s="70">
        <f>BB221</f>
        <v>971666.66666666663</v>
      </c>
      <c r="BE221" s="2"/>
      <c r="BF221" s="69">
        <f>smp_open_ar</f>
        <v>620000</v>
      </c>
      <c r="BG221" s="69">
        <f t="shared" ref="BG221:CC221" si="150">BF222</f>
        <v>714000</v>
      </c>
      <c r="BH221" s="69">
        <f t="shared" si="150"/>
        <v>743750</v>
      </c>
      <c r="BI221" s="69">
        <f t="shared" si="150"/>
        <v>777466.66666666663</v>
      </c>
      <c r="BJ221" s="69">
        <f t="shared" si="150"/>
        <v>809200</v>
      </c>
      <c r="BK221" s="69">
        <f t="shared" si="150"/>
        <v>838950</v>
      </c>
      <c r="BL221" s="69">
        <f t="shared" si="150"/>
        <v>829033.33333333337</v>
      </c>
      <c r="BM221" s="69">
        <f t="shared" si="150"/>
        <v>817133.33333333337</v>
      </c>
      <c r="BN221" s="69">
        <f t="shared" si="150"/>
        <v>817133.33333333337</v>
      </c>
      <c r="BO221" s="69">
        <f t="shared" si="150"/>
        <v>848866.66666666663</v>
      </c>
      <c r="BP221" s="69">
        <f t="shared" si="150"/>
        <v>878616.66666666663</v>
      </c>
      <c r="BQ221" s="69">
        <f t="shared" si="150"/>
        <v>900433.33333333337</v>
      </c>
      <c r="BR221" s="69">
        <f t="shared" si="150"/>
        <v>902416.66666666663</v>
      </c>
      <c r="BS221" s="69">
        <f t="shared" si="150"/>
        <v>904400</v>
      </c>
      <c r="BT221" s="69">
        <f t="shared" si="150"/>
        <v>932166.66666666663</v>
      </c>
      <c r="BU221" s="69">
        <f t="shared" si="150"/>
        <v>959933.33333333337</v>
      </c>
      <c r="BV221" s="69">
        <f t="shared" si="150"/>
        <v>991666.66666666663</v>
      </c>
      <c r="BW221" s="69">
        <f t="shared" si="150"/>
        <v>1013483.3333333334</v>
      </c>
      <c r="BX221" s="69">
        <f t="shared" si="150"/>
        <v>1011500</v>
      </c>
      <c r="BY221" s="69">
        <f t="shared" si="150"/>
        <v>999600</v>
      </c>
      <c r="BZ221" s="69">
        <f t="shared" si="150"/>
        <v>1001583.3333333334</v>
      </c>
      <c r="CA221" s="69">
        <f t="shared" si="150"/>
        <v>1021416.6666666666</v>
      </c>
      <c r="CB221" s="69">
        <f t="shared" si="150"/>
        <v>1041250</v>
      </c>
      <c r="CC221" s="69">
        <f t="shared" si="150"/>
        <v>1051166.6666666667</v>
      </c>
      <c r="CD221" s="70">
        <f>BQ221</f>
        <v>900433.33333333337</v>
      </c>
      <c r="CE221" s="70">
        <f>CC221</f>
        <v>1051166.6666666667</v>
      </c>
      <c r="CF221" s="2"/>
      <c r="CG221" s="69">
        <f>smp_open_ar</f>
        <v>620000</v>
      </c>
      <c r="CH221" s="69">
        <f t="shared" ref="CH221:DD221" si="151">CG222</f>
        <v>627000</v>
      </c>
      <c r="CI221" s="69">
        <f t="shared" si="151"/>
        <v>653125</v>
      </c>
      <c r="CJ221" s="69">
        <f t="shared" si="151"/>
        <v>682733.33333333337</v>
      </c>
      <c r="CK221" s="69">
        <f t="shared" si="151"/>
        <v>710600.00000000012</v>
      </c>
      <c r="CL221" s="69">
        <f t="shared" si="151"/>
        <v>736725.00000000012</v>
      </c>
      <c r="CM221" s="69">
        <f t="shared" si="151"/>
        <v>728016.66666666674</v>
      </c>
      <c r="CN221" s="69">
        <f t="shared" si="151"/>
        <v>717566.66666666663</v>
      </c>
      <c r="CO221" s="69">
        <f t="shared" si="151"/>
        <v>717566.66666666663</v>
      </c>
      <c r="CP221" s="69">
        <f t="shared" si="151"/>
        <v>745433.33333333349</v>
      </c>
      <c r="CQ221" s="69">
        <f t="shared" si="151"/>
        <v>771558.33333333349</v>
      </c>
      <c r="CR221" s="69">
        <f t="shared" si="151"/>
        <v>790716.66666666674</v>
      </c>
      <c r="CS221" s="69">
        <f t="shared" si="151"/>
        <v>792458.33333333349</v>
      </c>
      <c r="CT221" s="69">
        <f t="shared" si="151"/>
        <v>794200.00000000012</v>
      </c>
      <c r="CU221" s="69">
        <f t="shared" si="151"/>
        <v>818583.33333333337</v>
      </c>
      <c r="CV221" s="69">
        <f t="shared" si="151"/>
        <v>842966.66666666663</v>
      </c>
      <c r="CW221" s="69">
        <f t="shared" si="151"/>
        <v>870833.33333333337</v>
      </c>
      <c r="CX221" s="69">
        <f t="shared" si="151"/>
        <v>889991.66666666663</v>
      </c>
      <c r="CY221" s="69">
        <f t="shared" si="151"/>
        <v>888250</v>
      </c>
      <c r="CZ221" s="69">
        <f t="shared" si="151"/>
        <v>877800</v>
      </c>
      <c r="DA221" s="69">
        <f t="shared" si="151"/>
        <v>879541.66666666663</v>
      </c>
      <c r="DB221" s="69">
        <f t="shared" si="151"/>
        <v>896958.33333333337</v>
      </c>
      <c r="DC221" s="69">
        <f t="shared" si="151"/>
        <v>914375</v>
      </c>
      <c r="DD221" s="69">
        <f t="shared" si="151"/>
        <v>923083.33333333337</v>
      </c>
      <c r="DE221" s="70">
        <f>CR221</f>
        <v>790716.66666666674</v>
      </c>
      <c r="DF221" s="70">
        <f>DD221</f>
        <v>923083.33333333337</v>
      </c>
      <c r="DG221"/>
      <c r="DH221"/>
    </row>
    <row r="222" spans="1:112" hidden="1" x14ac:dyDescent="0.2">
      <c r="A222" s="1"/>
      <c r="B222" s="35" t="s">
        <v>144</v>
      </c>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2"/>
      <c r="AE222" s="69">
        <f t="shared" ref="AE222:BB222" si="152">AE190*(smp_ar_days+INDEX(ref_scn_ar_adj,1))/30</f>
        <v>660000</v>
      </c>
      <c r="AF222" s="69">
        <f t="shared" si="152"/>
        <v>687500</v>
      </c>
      <c r="AG222" s="69">
        <f t="shared" si="152"/>
        <v>718666.66666666663</v>
      </c>
      <c r="AH222" s="69">
        <f t="shared" si="152"/>
        <v>748000</v>
      </c>
      <c r="AI222" s="69">
        <f t="shared" si="152"/>
        <v>775500</v>
      </c>
      <c r="AJ222" s="69">
        <f t="shared" si="152"/>
        <v>766333.33333333337</v>
      </c>
      <c r="AK222" s="69">
        <f t="shared" si="152"/>
        <v>755333.33333333337</v>
      </c>
      <c r="AL222" s="69">
        <f t="shared" si="152"/>
        <v>755333.33333333337</v>
      </c>
      <c r="AM222" s="69">
        <f t="shared" si="152"/>
        <v>784666.66666666663</v>
      </c>
      <c r="AN222" s="69">
        <f t="shared" si="152"/>
        <v>812166.66666666663</v>
      </c>
      <c r="AO222" s="69">
        <f t="shared" si="152"/>
        <v>832333.33333333337</v>
      </c>
      <c r="AP222" s="69">
        <f t="shared" si="152"/>
        <v>834166.66666666663</v>
      </c>
      <c r="AQ222" s="69">
        <f t="shared" si="152"/>
        <v>836000</v>
      </c>
      <c r="AR222" s="69">
        <f t="shared" si="152"/>
        <v>861666.66666666663</v>
      </c>
      <c r="AS222" s="69">
        <f t="shared" si="152"/>
        <v>887333.33333333337</v>
      </c>
      <c r="AT222" s="69">
        <f t="shared" si="152"/>
        <v>916666.66666666663</v>
      </c>
      <c r="AU222" s="69">
        <f t="shared" si="152"/>
        <v>936833.33333333337</v>
      </c>
      <c r="AV222" s="69">
        <f t="shared" si="152"/>
        <v>935000</v>
      </c>
      <c r="AW222" s="69">
        <f t="shared" si="152"/>
        <v>924000</v>
      </c>
      <c r="AX222" s="69">
        <f t="shared" si="152"/>
        <v>925833.33333333337</v>
      </c>
      <c r="AY222" s="69">
        <f t="shared" si="152"/>
        <v>944166.66666666663</v>
      </c>
      <c r="AZ222" s="69">
        <f t="shared" si="152"/>
        <v>962500</v>
      </c>
      <c r="BA222" s="69">
        <f t="shared" si="152"/>
        <v>971666.66666666663</v>
      </c>
      <c r="BB222" s="69">
        <f t="shared" si="152"/>
        <v>962500</v>
      </c>
      <c r="BC222" s="70">
        <f>AP222</f>
        <v>834166.66666666663</v>
      </c>
      <c r="BD222" s="70">
        <f>BB222</f>
        <v>962500</v>
      </c>
      <c r="BE222" s="2"/>
      <c r="BF222" s="69">
        <f t="shared" ref="BF222:CC222" si="153">BF190*(smp_ar_days+INDEX(ref_scn_ar_adj,2))/30</f>
        <v>714000</v>
      </c>
      <c r="BG222" s="69">
        <f t="shared" si="153"/>
        <v>743750</v>
      </c>
      <c r="BH222" s="69">
        <f t="shared" si="153"/>
        <v>777466.66666666663</v>
      </c>
      <c r="BI222" s="69">
        <f t="shared" si="153"/>
        <v>809200</v>
      </c>
      <c r="BJ222" s="69">
        <f t="shared" si="153"/>
        <v>838950</v>
      </c>
      <c r="BK222" s="69">
        <f t="shared" si="153"/>
        <v>829033.33333333337</v>
      </c>
      <c r="BL222" s="69">
        <f t="shared" si="153"/>
        <v>817133.33333333337</v>
      </c>
      <c r="BM222" s="69">
        <f t="shared" si="153"/>
        <v>817133.33333333337</v>
      </c>
      <c r="BN222" s="69">
        <f t="shared" si="153"/>
        <v>848866.66666666663</v>
      </c>
      <c r="BO222" s="69">
        <f t="shared" si="153"/>
        <v>878616.66666666663</v>
      </c>
      <c r="BP222" s="69">
        <f t="shared" si="153"/>
        <v>900433.33333333337</v>
      </c>
      <c r="BQ222" s="69">
        <f t="shared" si="153"/>
        <v>902416.66666666663</v>
      </c>
      <c r="BR222" s="69">
        <f t="shared" si="153"/>
        <v>904400</v>
      </c>
      <c r="BS222" s="69">
        <f t="shared" si="153"/>
        <v>932166.66666666663</v>
      </c>
      <c r="BT222" s="69">
        <f t="shared" si="153"/>
        <v>959933.33333333337</v>
      </c>
      <c r="BU222" s="69">
        <f t="shared" si="153"/>
        <v>991666.66666666663</v>
      </c>
      <c r="BV222" s="69">
        <f t="shared" si="153"/>
        <v>1013483.3333333334</v>
      </c>
      <c r="BW222" s="69">
        <f t="shared" si="153"/>
        <v>1011500</v>
      </c>
      <c r="BX222" s="69">
        <f t="shared" si="153"/>
        <v>999600</v>
      </c>
      <c r="BY222" s="69">
        <f t="shared" si="153"/>
        <v>1001583.3333333334</v>
      </c>
      <c r="BZ222" s="69">
        <f t="shared" si="153"/>
        <v>1021416.6666666666</v>
      </c>
      <c r="CA222" s="69">
        <f t="shared" si="153"/>
        <v>1041250</v>
      </c>
      <c r="CB222" s="69">
        <f t="shared" si="153"/>
        <v>1051166.6666666667</v>
      </c>
      <c r="CC222" s="69">
        <f t="shared" si="153"/>
        <v>1041250</v>
      </c>
      <c r="CD222" s="70">
        <f>BQ222</f>
        <v>902416.66666666663</v>
      </c>
      <c r="CE222" s="70">
        <f>CC222</f>
        <v>1041250</v>
      </c>
      <c r="CF222" s="2"/>
      <c r="CG222" s="69">
        <f t="shared" ref="CG222:DD222" si="154">CG190*(smp_ar_days+INDEX(ref_scn_ar_adj,3))/30</f>
        <v>627000</v>
      </c>
      <c r="CH222" s="69">
        <f t="shared" si="154"/>
        <v>653125</v>
      </c>
      <c r="CI222" s="69">
        <f t="shared" si="154"/>
        <v>682733.33333333337</v>
      </c>
      <c r="CJ222" s="69">
        <f t="shared" si="154"/>
        <v>710600.00000000012</v>
      </c>
      <c r="CK222" s="69">
        <f t="shared" si="154"/>
        <v>736725.00000000012</v>
      </c>
      <c r="CL222" s="69">
        <f t="shared" si="154"/>
        <v>728016.66666666674</v>
      </c>
      <c r="CM222" s="69">
        <f t="shared" si="154"/>
        <v>717566.66666666663</v>
      </c>
      <c r="CN222" s="69">
        <f t="shared" si="154"/>
        <v>717566.66666666663</v>
      </c>
      <c r="CO222" s="69">
        <f t="shared" si="154"/>
        <v>745433.33333333349</v>
      </c>
      <c r="CP222" s="69">
        <f t="shared" si="154"/>
        <v>771558.33333333349</v>
      </c>
      <c r="CQ222" s="69">
        <f t="shared" si="154"/>
        <v>790716.66666666674</v>
      </c>
      <c r="CR222" s="69">
        <f t="shared" si="154"/>
        <v>792458.33333333349</v>
      </c>
      <c r="CS222" s="69">
        <f t="shared" si="154"/>
        <v>794200.00000000012</v>
      </c>
      <c r="CT222" s="69">
        <f t="shared" si="154"/>
        <v>818583.33333333337</v>
      </c>
      <c r="CU222" s="69">
        <f t="shared" si="154"/>
        <v>842966.66666666663</v>
      </c>
      <c r="CV222" s="69">
        <f t="shared" si="154"/>
        <v>870833.33333333337</v>
      </c>
      <c r="CW222" s="69">
        <f t="shared" si="154"/>
        <v>889991.66666666663</v>
      </c>
      <c r="CX222" s="69">
        <f t="shared" si="154"/>
        <v>888250</v>
      </c>
      <c r="CY222" s="69">
        <f t="shared" si="154"/>
        <v>877800</v>
      </c>
      <c r="CZ222" s="69">
        <f t="shared" si="154"/>
        <v>879541.66666666663</v>
      </c>
      <c r="DA222" s="69">
        <f t="shared" si="154"/>
        <v>896958.33333333337</v>
      </c>
      <c r="DB222" s="69">
        <f t="shared" si="154"/>
        <v>914375</v>
      </c>
      <c r="DC222" s="69">
        <f t="shared" si="154"/>
        <v>923083.33333333337</v>
      </c>
      <c r="DD222" s="69">
        <f t="shared" si="154"/>
        <v>914375</v>
      </c>
      <c r="DE222" s="70">
        <f>CR222</f>
        <v>792458.33333333349</v>
      </c>
      <c r="DF222" s="70">
        <f>DD222</f>
        <v>914375</v>
      </c>
      <c r="DG222"/>
      <c r="DH222"/>
    </row>
    <row r="223" spans="1:112" hidden="1" x14ac:dyDescent="0.2">
      <c r="A223" s="1"/>
      <c r="B223" s="35" t="s">
        <v>145</v>
      </c>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2"/>
      <c r="AE223" s="69">
        <f t="shared" ref="AE223:BB223" si="155">AE222-AE221</f>
        <v>40000</v>
      </c>
      <c r="AF223" s="69">
        <f t="shared" si="155"/>
        <v>27500</v>
      </c>
      <c r="AG223" s="69">
        <f t="shared" si="155"/>
        <v>31166.666666666628</v>
      </c>
      <c r="AH223" s="69">
        <f t="shared" si="155"/>
        <v>29333.333333333372</v>
      </c>
      <c r="AI223" s="69">
        <f t="shared" si="155"/>
        <v>27500</v>
      </c>
      <c r="AJ223" s="69">
        <f t="shared" si="155"/>
        <v>-9166.6666666666279</v>
      </c>
      <c r="AK223" s="69">
        <f t="shared" si="155"/>
        <v>-11000</v>
      </c>
      <c r="AL223" s="69">
        <f t="shared" si="155"/>
        <v>0</v>
      </c>
      <c r="AM223" s="69">
        <f t="shared" si="155"/>
        <v>29333.333333333256</v>
      </c>
      <c r="AN223" s="69">
        <f t="shared" si="155"/>
        <v>27500</v>
      </c>
      <c r="AO223" s="69">
        <f t="shared" si="155"/>
        <v>20166.666666666744</v>
      </c>
      <c r="AP223" s="69">
        <f t="shared" si="155"/>
        <v>1833.3333333332557</v>
      </c>
      <c r="AQ223" s="69">
        <f t="shared" si="155"/>
        <v>1833.3333333333721</v>
      </c>
      <c r="AR223" s="69">
        <f t="shared" si="155"/>
        <v>25666.666666666628</v>
      </c>
      <c r="AS223" s="69">
        <f t="shared" si="155"/>
        <v>25666.666666666744</v>
      </c>
      <c r="AT223" s="69">
        <f t="shared" si="155"/>
        <v>29333.333333333256</v>
      </c>
      <c r="AU223" s="69">
        <f t="shared" si="155"/>
        <v>20166.666666666744</v>
      </c>
      <c r="AV223" s="69">
        <f t="shared" si="155"/>
        <v>-1833.3333333333721</v>
      </c>
      <c r="AW223" s="69">
        <f t="shared" si="155"/>
        <v>-11000</v>
      </c>
      <c r="AX223" s="69">
        <f t="shared" si="155"/>
        <v>1833.3333333333721</v>
      </c>
      <c r="AY223" s="69">
        <f t="shared" si="155"/>
        <v>18333.333333333256</v>
      </c>
      <c r="AZ223" s="69">
        <f t="shared" si="155"/>
        <v>18333.333333333372</v>
      </c>
      <c r="BA223" s="69">
        <f t="shared" si="155"/>
        <v>9166.6666666666279</v>
      </c>
      <c r="BB223" s="69">
        <f t="shared" si="155"/>
        <v>-9166.6666666666279</v>
      </c>
      <c r="BC223" s="70">
        <f>SUM(AE223:AP223)</f>
        <v>214166.66666666663</v>
      </c>
      <c r="BD223" s="70">
        <f>SUM(AQ223:BB223)</f>
        <v>128333.33333333337</v>
      </c>
      <c r="BE223" s="2"/>
      <c r="BF223" s="69">
        <f t="shared" ref="BF223:CC223" si="156">BF222-BF221</f>
        <v>94000</v>
      </c>
      <c r="BG223" s="69">
        <f t="shared" si="156"/>
        <v>29750</v>
      </c>
      <c r="BH223" s="69">
        <f t="shared" si="156"/>
        <v>33716.666666666628</v>
      </c>
      <c r="BI223" s="69">
        <f t="shared" si="156"/>
        <v>31733.333333333372</v>
      </c>
      <c r="BJ223" s="69">
        <f t="shared" si="156"/>
        <v>29750</v>
      </c>
      <c r="BK223" s="69">
        <f t="shared" si="156"/>
        <v>-9916.6666666666279</v>
      </c>
      <c r="BL223" s="69">
        <f t="shared" si="156"/>
        <v>-11900</v>
      </c>
      <c r="BM223" s="69">
        <f t="shared" si="156"/>
        <v>0</v>
      </c>
      <c r="BN223" s="69">
        <f t="shared" si="156"/>
        <v>31733.333333333256</v>
      </c>
      <c r="BO223" s="69">
        <f t="shared" si="156"/>
        <v>29750</v>
      </c>
      <c r="BP223" s="69">
        <f t="shared" si="156"/>
        <v>21816.666666666744</v>
      </c>
      <c r="BQ223" s="69">
        <f t="shared" si="156"/>
        <v>1983.3333333332557</v>
      </c>
      <c r="BR223" s="69">
        <f t="shared" si="156"/>
        <v>1983.3333333333721</v>
      </c>
      <c r="BS223" s="69">
        <f t="shared" si="156"/>
        <v>27766.666666666628</v>
      </c>
      <c r="BT223" s="69">
        <f t="shared" si="156"/>
        <v>27766.666666666744</v>
      </c>
      <c r="BU223" s="69">
        <f t="shared" si="156"/>
        <v>31733.333333333256</v>
      </c>
      <c r="BV223" s="69">
        <f t="shared" si="156"/>
        <v>21816.666666666744</v>
      </c>
      <c r="BW223" s="69">
        <f t="shared" si="156"/>
        <v>-1983.3333333333721</v>
      </c>
      <c r="BX223" s="69">
        <f t="shared" si="156"/>
        <v>-11900</v>
      </c>
      <c r="BY223" s="69">
        <f t="shared" si="156"/>
        <v>1983.3333333333721</v>
      </c>
      <c r="BZ223" s="69">
        <f t="shared" si="156"/>
        <v>19833.333333333256</v>
      </c>
      <c r="CA223" s="69">
        <f t="shared" si="156"/>
        <v>19833.333333333372</v>
      </c>
      <c r="CB223" s="69">
        <f t="shared" si="156"/>
        <v>9916.6666666667443</v>
      </c>
      <c r="CC223" s="69">
        <f t="shared" si="156"/>
        <v>-9916.6666666667443</v>
      </c>
      <c r="CD223" s="70">
        <f>SUM(BF223:BQ223)</f>
        <v>282416.66666666663</v>
      </c>
      <c r="CE223" s="70">
        <f>SUM(BR223:CC223)</f>
        <v>138833.33333333337</v>
      </c>
      <c r="CF223" s="2"/>
      <c r="CG223" s="69">
        <f t="shared" ref="CG223:DD223" si="157">CG222-CG221</f>
        <v>7000</v>
      </c>
      <c r="CH223" s="69">
        <f t="shared" si="157"/>
        <v>26125</v>
      </c>
      <c r="CI223" s="69">
        <f t="shared" si="157"/>
        <v>29608.333333333372</v>
      </c>
      <c r="CJ223" s="69">
        <f t="shared" si="157"/>
        <v>27866.666666666744</v>
      </c>
      <c r="CK223" s="69">
        <f t="shared" si="157"/>
        <v>26125</v>
      </c>
      <c r="CL223" s="69">
        <f t="shared" si="157"/>
        <v>-8708.3333333333721</v>
      </c>
      <c r="CM223" s="69">
        <f t="shared" si="157"/>
        <v>-10450.000000000116</v>
      </c>
      <c r="CN223" s="69">
        <f t="shared" si="157"/>
        <v>0</v>
      </c>
      <c r="CO223" s="69">
        <f t="shared" si="157"/>
        <v>27866.666666666861</v>
      </c>
      <c r="CP223" s="69">
        <f t="shared" si="157"/>
        <v>26125</v>
      </c>
      <c r="CQ223" s="69">
        <f t="shared" si="157"/>
        <v>19158.333333333256</v>
      </c>
      <c r="CR223" s="69">
        <f t="shared" si="157"/>
        <v>1741.6666666667443</v>
      </c>
      <c r="CS223" s="69">
        <f t="shared" si="157"/>
        <v>1741.6666666666279</v>
      </c>
      <c r="CT223" s="69">
        <f t="shared" si="157"/>
        <v>24383.333333333256</v>
      </c>
      <c r="CU223" s="69">
        <f t="shared" si="157"/>
        <v>24383.333333333256</v>
      </c>
      <c r="CV223" s="69">
        <f t="shared" si="157"/>
        <v>27866.666666666744</v>
      </c>
      <c r="CW223" s="69">
        <f t="shared" si="157"/>
        <v>19158.333333333256</v>
      </c>
      <c r="CX223" s="69">
        <f t="shared" si="157"/>
        <v>-1741.6666666666279</v>
      </c>
      <c r="CY223" s="69">
        <f t="shared" si="157"/>
        <v>-10450</v>
      </c>
      <c r="CZ223" s="69">
        <f t="shared" si="157"/>
        <v>1741.6666666666279</v>
      </c>
      <c r="DA223" s="69">
        <f t="shared" si="157"/>
        <v>17416.666666666744</v>
      </c>
      <c r="DB223" s="69">
        <f t="shared" si="157"/>
        <v>17416.666666666628</v>
      </c>
      <c r="DC223" s="69">
        <f t="shared" si="157"/>
        <v>8708.3333333333721</v>
      </c>
      <c r="DD223" s="69">
        <f t="shared" si="157"/>
        <v>-8708.3333333333721</v>
      </c>
      <c r="DE223" s="70">
        <f>SUM(CG223:CR223)</f>
        <v>172458.33333333349</v>
      </c>
      <c r="DF223" s="70">
        <f>SUM(CS223:DD223)</f>
        <v>121916.66666666651</v>
      </c>
      <c r="DG223"/>
      <c r="DH223"/>
    </row>
    <row r="224" spans="1:112" hidden="1" x14ac:dyDescent="0.2">
      <c r="A224" s="1"/>
      <c r="B224" s="35" t="s">
        <v>146</v>
      </c>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2"/>
      <c r="AE224" s="69">
        <f>smp_open_ap</f>
        <v>195000</v>
      </c>
      <c r="AF224" s="69">
        <f t="shared" ref="AF224:BB224" si="158">AE225</f>
        <v>204640</v>
      </c>
      <c r="AG224" s="69">
        <f t="shared" si="158"/>
        <v>211146.66666666666</v>
      </c>
      <c r="AH224" s="69">
        <f t="shared" si="158"/>
        <v>218421.33333333334</v>
      </c>
      <c r="AI224" s="69">
        <f t="shared" si="158"/>
        <v>225397.33333333334</v>
      </c>
      <c r="AJ224" s="69">
        <f t="shared" si="158"/>
        <v>232032</v>
      </c>
      <c r="AK224" s="69">
        <f t="shared" si="158"/>
        <v>229024</v>
      </c>
      <c r="AL224" s="69">
        <f t="shared" si="158"/>
        <v>225674.66666666666</v>
      </c>
      <c r="AM224" s="69">
        <f t="shared" si="158"/>
        <v>225109.33333333334</v>
      </c>
      <c r="AN224" s="69">
        <f t="shared" si="158"/>
        <v>232085.33333333334</v>
      </c>
      <c r="AO224" s="69">
        <f t="shared" si="158"/>
        <v>238677.33333333334</v>
      </c>
      <c r="AP224" s="69">
        <f t="shared" si="158"/>
        <v>243210.66666666666</v>
      </c>
      <c r="AQ224" s="69">
        <f t="shared" si="158"/>
        <v>242986.66666666666</v>
      </c>
      <c r="AR224" s="69">
        <f t="shared" si="158"/>
        <v>243776</v>
      </c>
      <c r="AS224" s="69">
        <f t="shared" si="158"/>
        <v>250026.66666666666</v>
      </c>
      <c r="AT224" s="69">
        <f t="shared" si="158"/>
        <v>256277.33333333334</v>
      </c>
      <c r="AU224" s="69">
        <f t="shared" si="158"/>
        <v>263253.33333333331</v>
      </c>
      <c r="AV224" s="69">
        <f t="shared" si="158"/>
        <v>267829.33333333331</v>
      </c>
      <c r="AW224" s="69">
        <f t="shared" si="158"/>
        <v>266880</v>
      </c>
      <c r="AX224" s="69">
        <f t="shared" si="158"/>
        <v>263530.66666666669</v>
      </c>
      <c r="AY224" s="69">
        <f t="shared" si="158"/>
        <v>263306.66666666669</v>
      </c>
      <c r="AZ224" s="69">
        <f t="shared" si="158"/>
        <v>268106.66666666669</v>
      </c>
      <c r="BA224" s="69">
        <f t="shared" si="158"/>
        <v>272906.66666666669</v>
      </c>
      <c r="BB224" s="69">
        <f t="shared" si="158"/>
        <v>275306.66666666669</v>
      </c>
      <c r="BC224" s="70">
        <f>AP224</f>
        <v>243210.66666666666</v>
      </c>
      <c r="BD224" s="70">
        <f>BB224</f>
        <v>275306.66666666669</v>
      </c>
      <c r="BE224" s="2"/>
      <c r="BF224" s="69">
        <f>smp_open_ap</f>
        <v>195000</v>
      </c>
      <c r="BG224" s="69">
        <f t="shared" ref="BG224:CC224" si="159">BF225</f>
        <v>247103.32500000001</v>
      </c>
      <c r="BH224" s="69">
        <f t="shared" si="159"/>
        <v>254725.27499999999</v>
      </c>
      <c r="BI224" s="69">
        <f t="shared" si="159"/>
        <v>263246.86499999999</v>
      </c>
      <c r="BJ224" s="69">
        <f t="shared" si="159"/>
        <v>271418.59499999997</v>
      </c>
      <c r="BK224" s="69">
        <f t="shared" si="159"/>
        <v>279190.48499999999</v>
      </c>
      <c r="BL224" s="69">
        <f t="shared" si="159"/>
        <v>275666.89499999996</v>
      </c>
      <c r="BM224" s="69">
        <f t="shared" si="159"/>
        <v>271743.46500000003</v>
      </c>
      <c r="BN224" s="69">
        <f t="shared" si="159"/>
        <v>271081.23000000004</v>
      </c>
      <c r="BO224" s="69">
        <f t="shared" si="159"/>
        <v>279252.96000000002</v>
      </c>
      <c r="BP224" s="69">
        <f t="shared" si="159"/>
        <v>286974.87</v>
      </c>
      <c r="BQ224" s="69">
        <f t="shared" si="159"/>
        <v>292285.24500000005</v>
      </c>
      <c r="BR224" s="69">
        <f t="shared" si="159"/>
        <v>292022.84999999998</v>
      </c>
      <c r="BS224" s="69">
        <f t="shared" si="159"/>
        <v>292947.48000000004</v>
      </c>
      <c r="BT224" s="69">
        <f t="shared" si="159"/>
        <v>300269.55</v>
      </c>
      <c r="BU224" s="69">
        <f t="shared" si="159"/>
        <v>307591.62000000005</v>
      </c>
      <c r="BV224" s="69">
        <f t="shared" si="159"/>
        <v>315763.34999999998</v>
      </c>
      <c r="BW224" s="69">
        <f t="shared" si="159"/>
        <v>321123.70500000002</v>
      </c>
      <c r="BX224" s="69">
        <f t="shared" si="159"/>
        <v>320011.65000000002</v>
      </c>
      <c r="BY224" s="69">
        <f t="shared" si="159"/>
        <v>316088.22000000003</v>
      </c>
      <c r="BZ224" s="69">
        <f t="shared" si="159"/>
        <v>315825.82500000001</v>
      </c>
      <c r="CA224" s="69">
        <f t="shared" si="159"/>
        <v>321448.57500000001</v>
      </c>
      <c r="CB224" s="69">
        <f t="shared" si="159"/>
        <v>327071.32500000001</v>
      </c>
      <c r="CC224" s="69">
        <f t="shared" si="159"/>
        <v>329882.7</v>
      </c>
      <c r="CD224" s="70">
        <f>BQ224</f>
        <v>292285.24500000005</v>
      </c>
      <c r="CE224" s="70">
        <f>CC224</f>
        <v>329882.7</v>
      </c>
      <c r="CF224" s="2"/>
      <c r="CG224" s="69">
        <f>smp_open_ap</f>
        <v>195000</v>
      </c>
      <c r="CH224" s="69">
        <f t="shared" ref="CH224:DD224" si="160">CG225</f>
        <v>183178.17</v>
      </c>
      <c r="CI224" s="69">
        <f t="shared" si="160"/>
        <v>189096.39</v>
      </c>
      <c r="CJ224" s="69">
        <f t="shared" si="160"/>
        <v>195713.15400000004</v>
      </c>
      <c r="CK224" s="69">
        <f t="shared" si="160"/>
        <v>202058.26200000002</v>
      </c>
      <c r="CL224" s="69">
        <f t="shared" si="160"/>
        <v>208092.90600000002</v>
      </c>
      <c r="CM224" s="69">
        <f t="shared" si="160"/>
        <v>205356.94200000001</v>
      </c>
      <c r="CN224" s="69">
        <f t="shared" si="160"/>
        <v>202310.514</v>
      </c>
      <c r="CO224" s="69">
        <f t="shared" si="160"/>
        <v>201796.30800000002</v>
      </c>
      <c r="CP224" s="69">
        <f t="shared" si="160"/>
        <v>208141.41600000003</v>
      </c>
      <c r="CQ224" s="69">
        <f t="shared" si="160"/>
        <v>214137.25200000001</v>
      </c>
      <c r="CR224" s="69">
        <f t="shared" si="160"/>
        <v>218260.60200000001</v>
      </c>
      <c r="CS224" s="69">
        <f t="shared" si="160"/>
        <v>218056.86000000002</v>
      </c>
      <c r="CT224" s="69">
        <f t="shared" si="160"/>
        <v>218774.80800000002</v>
      </c>
      <c r="CU224" s="69">
        <f t="shared" si="160"/>
        <v>224460.18000000002</v>
      </c>
      <c r="CV224" s="69">
        <f t="shared" si="160"/>
        <v>230145.55200000003</v>
      </c>
      <c r="CW224" s="69">
        <f t="shared" si="160"/>
        <v>236490.66000000003</v>
      </c>
      <c r="CX224" s="69">
        <f t="shared" si="160"/>
        <v>240652.81800000003</v>
      </c>
      <c r="CY224" s="69">
        <f t="shared" si="160"/>
        <v>239789.34000000003</v>
      </c>
      <c r="CZ224" s="69">
        <f t="shared" si="160"/>
        <v>236742.91200000004</v>
      </c>
      <c r="DA224" s="69">
        <f t="shared" si="160"/>
        <v>236539.17000000004</v>
      </c>
      <c r="DB224" s="69">
        <f t="shared" si="160"/>
        <v>240905.07000000004</v>
      </c>
      <c r="DC224" s="69">
        <f t="shared" si="160"/>
        <v>245270.97000000006</v>
      </c>
      <c r="DD224" s="69">
        <f t="shared" si="160"/>
        <v>247453.92000000004</v>
      </c>
      <c r="DE224" s="70">
        <f>CR224</f>
        <v>218260.60200000001</v>
      </c>
      <c r="DF224" s="70">
        <f>DD224</f>
        <v>247453.92000000004</v>
      </c>
      <c r="DG224"/>
      <c r="DH224"/>
    </row>
    <row r="225" spans="1:112" hidden="1" x14ac:dyDescent="0.2">
      <c r="A225" s="1"/>
      <c r="B225" s="35" t="s">
        <v>147</v>
      </c>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2"/>
      <c r="AE225" s="69">
        <f t="shared" ref="AE225:BB225" si="161">AE200*(smp_ap_days+_xlfn.SINGLE(INDEX(ref_scn_ap_adj,1)))/30</f>
        <v>204640</v>
      </c>
      <c r="AF225" s="69">
        <f t="shared" si="161"/>
        <v>211146.66666666666</v>
      </c>
      <c r="AG225" s="69">
        <f t="shared" si="161"/>
        <v>218421.33333333334</v>
      </c>
      <c r="AH225" s="69">
        <f t="shared" si="161"/>
        <v>225397.33333333334</v>
      </c>
      <c r="AI225" s="69">
        <f t="shared" si="161"/>
        <v>232032</v>
      </c>
      <c r="AJ225" s="69">
        <f t="shared" si="161"/>
        <v>229024</v>
      </c>
      <c r="AK225" s="69">
        <f t="shared" si="161"/>
        <v>225674.66666666666</v>
      </c>
      <c r="AL225" s="69">
        <f t="shared" si="161"/>
        <v>225109.33333333334</v>
      </c>
      <c r="AM225" s="69">
        <f t="shared" si="161"/>
        <v>232085.33333333334</v>
      </c>
      <c r="AN225" s="69">
        <f t="shared" si="161"/>
        <v>238677.33333333334</v>
      </c>
      <c r="AO225" s="69">
        <f t="shared" si="161"/>
        <v>243210.66666666666</v>
      </c>
      <c r="AP225" s="69">
        <f t="shared" si="161"/>
        <v>242986.66666666666</v>
      </c>
      <c r="AQ225" s="69">
        <f t="shared" si="161"/>
        <v>243776</v>
      </c>
      <c r="AR225" s="69">
        <f t="shared" si="161"/>
        <v>250026.66666666666</v>
      </c>
      <c r="AS225" s="69">
        <f t="shared" si="161"/>
        <v>256277.33333333334</v>
      </c>
      <c r="AT225" s="69">
        <f t="shared" si="161"/>
        <v>263253.33333333331</v>
      </c>
      <c r="AU225" s="69">
        <f t="shared" si="161"/>
        <v>267829.33333333331</v>
      </c>
      <c r="AV225" s="69">
        <f t="shared" si="161"/>
        <v>266880</v>
      </c>
      <c r="AW225" s="69">
        <f t="shared" si="161"/>
        <v>263530.66666666669</v>
      </c>
      <c r="AX225" s="69">
        <f t="shared" si="161"/>
        <v>263306.66666666669</v>
      </c>
      <c r="AY225" s="69">
        <f t="shared" si="161"/>
        <v>268106.66666666669</v>
      </c>
      <c r="AZ225" s="69">
        <f t="shared" si="161"/>
        <v>272906.66666666669</v>
      </c>
      <c r="BA225" s="69">
        <f t="shared" si="161"/>
        <v>275306.66666666669</v>
      </c>
      <c r="BB225" s="69">
        <f t="shared" si="161"/>
        <v>272906.66666666669</v>
      </c>
      <c r="BC225" s="70">
        <f>AP225</f>
        <v>242986.66666666666</v>
      </c>
      <c r="BD225" s="70">
        <f>BB225</f>
        <v>272906.66666666669</v>
      </c>
      <c r="BE225" s="2"/>
      <c r="BF225" s="69">
        <f t="shared" ref="BF225:CC225" si="162">BF200*(smp_ap_days+_xlfn.SINGLE(INDEX(ref_scn_ap_adj,2)))/30</f>
        <v>247103.32500000001</v>
      </c>
      <c r="BG225" s="69">
        <f t="shared" si="162"/>
        <v>254725.27499999999</v>
      </c>
      <c r="BH225" s="69">
        <f t="shared" si="162"/>
        <v>263246.86499999999</v>
      </c>
      <c r="BI225" s="69">
        <f t="shared" si="162"/>
        <v>271418.59499999997</v>
      </c>
      <c r="BJ225" s="69">
        <f t="shared" si="162"/>
        <v>279190.48499999999</v>
      </c>
      <c r="BK225" s="69">
        <f t="shared" si="162"/>
        <v>275666.89499999996</v>
      </c>
      <c r="BL225" s="69">
        <f t="shared" si="162"/>
        <v>271743.46500000003</v>
      </c>
      <c r="BM225" s="69">
        <f t="shared" si="162"/>
        <v>271081.23000000004</v>
      </c>
      <c r="BN225" s="69">
        <f t="shared" si="162"/>
        <v>279252.96000000002</v>
      </c>
      <c r="BO225" s="69">
        <f t="shared" si="162"/>
        <v>286974.87</v>
      </c>
      <c r="BP225" s="69">
        <f t="shared" si="162"/>
        <v>292285.24500000005</v>
      </c>
      <c r="BQ225" s="69">
        <f t="shared" si="162"/>
        <v>292022.84999999998</v>
      </c>
      <c r="BR225" s="69">
        <f t="shared" si="162"/>
        <v>292947.48000000004</v>
      </c>
      <c r="BS225" s="69">
        <f t="shared" si="162"/>
        <v>300269.55</v>
      </c>
      <c r="BT225" s="69">
        <f t="shared" si="162"/>
        <v>307591.62000000005</v>
      </c>
      <c r="BU225" s="69">
        <f t="shared" si="162"/>
        <v>315763.34999999998</v>
      </c>
      <c r="BV225" s="69">
        <f t="shared" si="162"/>
        <v>321123.70500000002</v>
      </c>
      <c r="BW225" s="69">
        <f t="shared" si="162"/>
        <v>320011.65000000002</v>
      </c>
      <c r="BX225" s="69">
        <f t="shared" si="162"/>
        <v>316088.22000000003</v>
      </c>
      <c r="BY225" s="69">
        <f t="shared" si="162"/>
        <v>315825.82500000001</v>
      </c>
      <c r="BZ225" s="69">
        <f t="shared" si="162"/>
        <v>321448.57500000001</v>
      </c>
      <c r="CA225" s="69">
        <f t="shared" si="162"/>
        <v>327071.32500000001</v>
      </c>
      <c r="CB225" s="69">
        <f t="shared" si="162"/>
        <v>329882.7</v>
      </c>
      <c r="CC225" s="69">
        <f t="shared" si="162"/>
        <v>327071.32500000001</v>
      </c>
      <c r="CD225" s="70">
        <f>BQ225</f>
        <v>292022.84999999998</v>
      </c>
      <c r="CE225" s="70">
        <f>CC225</f>
        <v>327071.32500000001</v>
      </c>
      <c r="CF225" s="2"/>
      <c r="CG225" s="69">
        <f t="shared" ref="CG225:DD225" si="163">CG200*(smp_ap_days+_xlfn.SINGLE(INDEX(ref_scn_ap_adj,3)))/30</f>
        <v>183178.17</v>
      </c>
      <c r="CH225" s="69">
        <f t="shared" si="163"/>
        <v>189096.39</v>
      </c>
      <c r="CI225" s="69">
        <f t="shared" si="163"/>
        <v>195713.15400000004</v>
      </c>
      <c r="CJ225" s="69">
        <f t="shared" si="163"/>
        <v>202058.26200000002</v>
      </c>
      <c r="CK225" s="69">
        <f t="shared" si="163"/>
        <v>208092.90600000002</v>
      </c>
      <c r="CL225" s="69">
        <f t="shared" si="163"/>
        <v>205356.94200000001</v>
      </c>
      <c r="CM225" s="69">
        <f t="shared" si="163"/>
        <v>202310.514</v>
      </c>
      <c r="CN225" s="69">
        <f t="shared" si="163"/>
        <v>201796.30800000002</v>
      </c>
      <c r="CO225" s="69">
        <f t="shared" si="163"/>
        <v>208141.41600000003</v>
      </c>
      <c r="CP225" s="69">
        <f t="shared" si="163"/>
        <v>214137.25200000001</v>
      </c>
      <c r="CQ225" s="69">
        <f t="shared" si="163"/>
        <v>218260.60200000001</v>
      </c>
      <c r="CR225" s="69">
        <f t="shared" si="163"/>
        <v>218056.86000000002</v>
      </c>
      <c r="CS225" s="69">
        <f t="shared" si="163"/>
        <v>218774.80800000002</v>
      </c>
      <c r="CT225" s="69">
        <f t="shared" si="163"/>
        <v>224460.18000000002</v>
      </c>
      <c r="CU225" s="69">
        <f t="shared" si="163"/>
        <v>230145.55200000003</v>
      </c>
      <c r="CV225" s="69">
        <f t="shared" si="163"/>
        <v>236490.66000000003</v>
      </c>
      <c r="CW225" s="69">
        <f t="shared" si="163"/>
        <v>240652.81800000003</v>
      </c>
      <c r="CX225" s="69">
        <f t="shared" si="163"/>
        <v>239789.34000000003</v>
      </c>
      <c r="CY225" s="69">
        <f t="shared" si="163"/>
        <v>236742.91200000004</v>
      </c>
      <c r="CZ225" s="69">
        <f t="shared" si="163"/>
        <v>236539.17000000004</v>
      </c>
      <c r="DA225" s="69">
        <f t="shared" si="163"/>
        <v>240905.07000000004</v>
      </c>
      <c r="DB225" s="69">
        <f t="shared" si="163"/>
        <v>245270.97000000006</v>
      </c>
      <c r="DC225" s="69">
        <f t="shared" si="163"/>
        <v>247453.92000000004</v>
      </c>
      <c r="DD225" s="69">
        <f t="shared" si="163"/>
        <v>245270.97000000006</v>
      </c>
      <c r="DE225" s="70">
        <f>CR225</f>
        <v>218056.86000000002</v>
      </c>
      <c r="DF225" s="70">
        <f>DD225</f>
        <v>245270.97000000006</v>
      </c>
      <c r="DG225"/>
      <c r="DH225"/>
    </row>
    <row r="226" spans="1:112" hidden="1" x14ac:dyDescent="0.2">
      <c r="A226" s="1"/>
      <c r="B226" s="35" t="s">
        <v>148</v>
      </c>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2"/>
      <c r="AE226" s="69">
        <f t="shared" ref="AE226:BB226" si="164">AE225-AE224</f>
        <v>9640</v>
      </c>
      <c r="AF226" s="69">
        <f t="shared" si="164"/>
        <v>6506.666666666657</v>
      </c>
      <c r="AG226" s="69">
        <f t="shared" si="164"/>
        <v>7274.6666666666861</v>
      </c>
      <c r="AH226" s="69">
        <f t="shared" si="164"/>
        <v>6976</v>
      </c>
      <c r="AI226" s="69">
        <f t="shared" si="164"/>
        <v>6634.666666666657</v>
      </c>
      <c r="AJ226" s="69">
        <f t="shared" si="164"/>
        <v>-3008</v>
      </c>
      <c r="AK226" s="69">
        <f t="shared" si="164"/>
        <v>-3349.333333333343</v>
      </c>
      <c r="AL226" s="69">
        <f t="shared" si="164"/>
        <v>-565.33333333331393</v>
      </c>
      <c r="AM226" s="69">
        <f t="shared" si="164"/>
        <v>6976</v>
      </c>
      <c r="AN226" s="69">
        <f t="shared" si="164"/>
        <v>6592</v>
      </c>
      <c r="AO226" s="69">
        <f t="shared" si="164"/>
        <v>4533.3333333333139</v>
      </c>
      <c r="AP226" s="69">
        <f t="shared" si="164"/>
        <v>-224</v>
      </c>
      <c r="AQ226" s="69">
        <f t="shared" si="164"/>
        <v>789.33333333334303</v>
      </c>
      <c r="AR226" s="69">
        <f t="shared" si="164"/>
        <v>6250.666666666657</v>
      </c>
      <c r="AS226" s="69">
        <f t="shared" si="164"/>
        <v>6250.6666666666861</v>
      </c>
      <c r="AT226" s="69">
        <f t="shared" si="164"/>
        <v>6975.9999999999709</v>
      </c>
      <c r="AU226" s="69">
        <f t="shared" si="164"/>
        <v>4576</v>
      </c>
      <c r="AV226" s="69">
        <f t="shared" si="164"/>
        <v>-949.33333333331393</v>
      </c>
      <c r="AW226" s="69">
        <f t="shared" si="164"/>
        <v>-3349.3333333333139</v>
      </c>
      <c r="AX226" s="69">
        <f t="shared" si="164"/>
        <v>-224</v>
      </c>
      <c r="AY226" s="69">
        <f t="shared" si="164"/>
        <v>4800</v>
      </c>
      <c r="AZ226" s="69">
        <f t="shared" si="164"/>
        <v>4800</v>
      </c>
      <c r="BA226" s="69">
        <f t="shared" si="164"/>
        <v>2400</v>
      </c>
      <c r="BB226" s="69">
        <f t="shared" si="164"/>
        <v>-2400</v>
      </c>
      <c r="BC226" s="70">
        <f>SUM(AE226:AP226)</f>
        <v>47986.666666666657</v>
      </c>
      <c r="BD226" s="70">
        <f>SUM(AQ226:BB226)</f>
        <v>29920.000000000029</v>
      </c>
      <c r="BE226" s="2"/>
      <c r="BF226" s="69">
        <f t="shared" ref="BF226:CC226" si="165">BF225-BF224</f>
        <v>52103.325000000012</v>
      </c>
      <c r="BG226" s="69">
        <f t="shared" si="165"/>
        <v>7621.9499999999825</v>
      </c>
      <c r="BH226" s="69">
        <f t="shared" si="165"/>
        <v>8521.5899999999965</v>
      </c>
      <c r="BI226" s="69">
        <f t="shared" si="165"/>
        <v>8171.7299999999814</v>
      </c>
      <c r="BJ226" s="69">
        <f t="shared" si="165"/>
        <v>7771.890000000014</v>
      </c>
      <c r="BK226" s="69">
        <f t="shared" si="165"/>
        <v>-3523.5900000000256</v>
      </c>
      <c r="BL226" s="69">
        <f t="shared" si="165"/>
        <v>-3923.4299999999348</v>
      </c>
      <c r="BM226" s="69">
        <f t="shared" si="165"/>
        <v>-662.23499999998603</v>
      </c>
      <c r="BN226" s="69">
        <f t="shared" si="165"/>
        <v>8171.7299999999814</v>
      </c>
      <c r="BO226" s="69">
        <f t="shared" si="165"/>
        <v>7721.9099999999744</v>
      </c>
      <c r="BP226" s="69">
        <f t="shared" si="165"/>
        <v>5310.3750000000582</v>
      </c>
      <c r="BQ226" s="69">
        <f t="shared" si="165"/>
        <v>-262.39500000007683</v>
      </c>
      <c r="BR226" s="69">
        <f t="shared" si="165"/>
        <v>924.63000000006286</v>
      </c>
      <c r="BS226" s="69">
        <f t="shared" si="165"/>
        <v>7322.0699999999488</v>
      </c>
      <c r="BT226" s="69">
        <f t="shared" si="165"/>
        <v>7322.0700000000652</v>
      </c>
      <c r="BU226" s="69">
        <f t="shared" si="165"/>
        <v>8171.7299999999232</v>
      </c>
      <c r="BV226" s="69">
        <f t="shared" si="165"/>
        <v>5360.3550000000396</v>
      </c>
      <c r="BW226" s="69">
        <f t="shared" si="165"/>
        <v>-1112.054999999993</v>
      </c>
      <c r="BX226" s="69">
        <f t="shared" si="165"/>
        <v>-3923.429999999993</v>
      </c>
      <c r="BY226" s="69">
        <f t="shared" si="165"/>
        <v>-262.39500000001863</v>
      </c>
      <c r="BZ226" s="69">
        <f t="shared" si="165"/>
        <v>5622.75</v>
      </c>
      <c r="CA226" s="69">
        <f t="shared" si="165"/>
        <v>5622.75</v>
      </c>
      <c r="CB226" s="69">
        <f t="shared" si="165"/>
        <v>2811.375</v>
      </c>
      <c r="CC226" s="69">
        <f t="shared" si="165"/>
        <v>-2811.375</v>
      </c>
      <c r="CD226" s="70">
        <f>SUM(BF226:BQ226)</f>
        <v>97022.849999999977</v>
      </c>
      <c r="CE226" s="70">
        <f>SUM(BR226:CC226)</f>
        <v>35048.475000000035</v>
      </c>
      <c r="CF226" s="2"/>
      <c r="CG226" s="69">
        <f t="shared" ref="CG226:DD226" si="166">CG225-CG224</f>
        <v>-11821.829999999987</v>
      </c>
      <c r="CH226" s="69">
        <f t="shared" si="166"/>
        <v>5918.2200000000012</v>
      </c>
      <c r="CI226" s="69">
        <f t="shared" si="166"/>
        <v>6616.7640000000247</v>
      </c>
      <c r="CJ226" s="69">
        <f t="shared" si="166"/>
        <v>6345.1079999999783</v>
      </c>
      <c r="CK226" s="69">
        <f t="shared" si="166"/>
        <v>6034.6440000000002</v>
      </c>
      <c r="CL226" s="69">
        <f t="shared" si="166"/>
        <v>-2735.9640000000072</v>
      </c>
      <c r="CM226" s="69">
        <f t="shared" si="166"/>
        <v>-3046.4280000000144</v>
      </c>
      <c r="CN226" s="69">
        <f t="shared" si="166"/>
        <v>-514.20599999997648</v>
      </c>
      <c r="CO226" s="69">
        <f t="shared" si="166"/>
        <v>6345.1080000000075</v>
      </c>
      <c r="CP226" s="69">
        <f t="shared" si="166"/>
        <v>5995.8359999999811</v>
      </c>
      <c r="CQ226" s="69">
        <f t="shared" si="166"/>
        <v>4123.3500000000058</v>
      </c>
      <c r="CR226" s="69">
        <f t="shared" si="166"/>
        <v>-203.74199999999837</v>
      </c>
      <c r="CS226" s="69">
        <f t="shared" si="166"/>
        <v>717.94800000000396</v>
      </c>
      <c r="CT226" s="69">
        <f t="shared" si="166"/>
        <v>5685.372000000003</v>
      </c>
      <c r="CU226" s="69">
        <f t="shared" si="166"/>
        <v>5685.372000000003</v>
      </c>
      <c r="CV226" s="69">
        <f t="shared" si="166"/>
        <v>6345.1080000000075</v>
      </c>
      <c r="CW226" s="69">
        <f t="shared" si="166"/>
        <v>4162.1579999999958</v>
      </c>
      <c r="CX226" s="69">
        <f t="shared" si="166"/>
        <v>-863.47800000000279</v>
      </c>
      <c r="CY226" s="69">
        <f t="shared" si="166"/>
        <v>-3046.4279999999853</v>
      </c>
      <c r="CZ226" s="69">
        <f t="shared" si="166"/>
        <v>-203.74199999999837</v>
      </c>
      <c r="DA226" s="69">
        <f t="shared" si="166"/>
        <v>4365.8999999999942</v>
      </c>
      <c r="DB226" s="69">
        <f t="shared" si="166"/>
        <v>4365.9000000000233</v>
      </c>
      <c r="DC226" s="69">
        <f t="shared" si="166"/>
        <v>2182.9499999999825</v>
      </c>
      <c r="DD226" s="69">
        <f t="shared" si="166"/>
        <v>-2182.9499999999825</v>
      </c>
      <c r="DE226" s="70">
        <f>SUM(CG226:CR226)</f>
        <v>23056.860000000015</v>
      </c>
      <c r="DF226" s="70">
        <f>SUM(CS226:DD226)</f>
        <v>27214.110000000044</v>
      </c>
      <c r="DG226"/>
      <c r="DH226"/>
    </row>
    <row r="227" spans="1:112" hidden="1" x14ac:dyDescent="0.2">
      <c r="A227" s="1"/>
      <c r="B227" s="35" t="s">
        <v>149</v>
      </c>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2"/>
      <c r="AE227" s="69">
        <f>smp_open_oca</f>
        <v>30000</v>
      </c>
      <c r="AF227" s="69">
        <f t="shared" ref="AF227:BB227" si="167">AE228</f>
        <v>30000</v>
      </c>
      <c r="AG227" s="69">
        <f t="shared" si="167"/>
        <v>30000</v>
      </c>
      <c r="AH227" s="69">
        <f t="shared" si="167"/>
        <v>30000</v>
      </c>
      <c r="AI227" s="69">
        <f t="shared" si="167"/>
        <v>30000</v>
      </c>
      <c r="AJ227" s="69">
        <f t="shared" si="167"/>
        <v>30000</v>
      </c>
      <c r="AK227" s="69">
        <f t="shared" si="167"/>
        <v>30000</v>
      </c>
      <c r="AL227" s="69">
        <f t="shared" si="167"/>
        <v>30000</v>
      </c>
      <c r="AM227" s="69">
        <f t="shared" si="167"/>
        <v>30000</v>
      </c>
      <c r="AN227" s="69">
        <f t="shared" si="167"/>
        <v>30000</v>
      </c>
      <c r="AO227" s="69">
        <f t="shared" si="167"/>
        <v>30000</v>
      </c>
      <c r="AP227" s="69">
        <f t="shared" si="167"/>
        <v>30000</v>
      </c>
      <c r="AQ227" s="69">
        <f t="shared" si="167"/>
        <v>30000</v>
      </c>
      <c r="AR227" s="69">
        <f t="shared" si="167"/>
        <v>30000</v>
      </c>
      <c r="AS227" s="69">
        <f t="shared" si="167"/>
        <v>30000</v>
      </c>
      <c r="AT227" s="69">
        <f t="shared" si="167"/>
        <v>30000</v>
      </c>
      <c r="AU227" s="69">
        <f t="shared" si="167"/>
        <v>30000</v>
      </c>
      <c r="AV227" s="69">
        <f t="shared" si="167"/>
        <v>30000</v>
      </c>
      <c r="AW227" s="69">
        <f t="shared" si="167"/>
        <v>30000</v>
      </c>
      <c r="AX227" s="69">
        <f t="shared" si="167"/>
        <v>30000</v>
      </c>
      <c r="AY227" s="69">
        <f t="shared" si="167"/>
        <v>30000</v>
      </c>
      <c r="AZ227" s="69">
        <f t="shared" si="167"/>
        <v>30000</v>
      </c>
      <c r="BA227" s="69">
        <f t="shared" si="167"/>
        <v>30000</v>
      </c>
      <c r="BB227" s="69">
        <f t="shared" si="167"/>
        <v>30000</v>
      </c>
      <c r="BC227" s="70">
        <f>AP227</f>
        <v>30000</v>
      </c>
      <c r="BD227" s="70">
        <f>BB227</f>
        <v>30000</v>
      </c>
      <c r="BE227" s="2"/>
      <c r="BF227" s="69">
        <f>smp_open_oca</f>
        <v>30000</v>
      </c>
      <c r="BG227" s="69">
        <f t="shared" ref="BG227:CC227" si="168">BF228</f>
        <v>30000</v>
      </c>
      <c r="BH227" s="69">
        <f t="shared" si="168"/>
        <v>30000</v>
      </c>
      <c r="BI227" s="69">
        <f t="shared" si="168"/>
        <v>30000</v>
      </c>
      <c r="BJ227" s="69">
        <f t="shared" si="168"/>
        <v>30000</v>
      </c>
      <c r="BK227" s="69">
        <f t="shared" si="168"/>
        <v>30000</v>
      </c>
      <c r="BL227" s="69">
        <f t="shared" si="168"/>
        <v>30000</v>
      </c>
      <c r="BM227" s="69">
        <f t="shared" si="168"/>
        <v>30000</v>
      </c>
      <c r="BN227" s="69">
        <f t="shared" si="168"/>
        <v>30000</v>
      </c>
      <c r="BO227" s="69">
        <f t="shared" si="168"/>
        <v>30000</v>
      </c>
      <c r="BP227" s="69">
        <f t="shared" si="168"/>
        <v>30000</v>
      </c>
      <c r="BQ227" s="69">
        <f t="shared" si="168"/>
        <v>30000</v>
      </c>
      <c r="BR227" s="69">
        <f t="shared" si="168"/>
        <v>30000</v>
      </c>
      <c r="BS227" s="69">
        <f t="shared" si="168"/>
        <v>30000</v>
      </c>
      <c r="BT227" s="69">
        <f t="shared" si="168"/>
        <v>30000</v>
      </c>
      <c r="BU227" s="69">
        <f t="shared" si="168"/>
        <v>30000</v>
      </c>
      <c r="BV227" s="69">
        <f t="shared" si="168"/>
        <v>30000</v>
      </c>
      <c r="BW227" s="69">
        <f t="shared" si="168"/>
        <v>30000</v>
      </c>
      <c r="BX227" s="69">
        <f t="shared" si="168"/>
        <v>30000</v>
      </c>
      <c r="BY227" s="69">
        <f t="shared" si="168"/>
        <v>30000</v>
      </c>
      <c r="BZ227" s="69">
        <f t="shared" si="168"/>
        <v>30000</v>
      </c>
      <c r="CA227" s="69">
        <f t="shared" si="168"/>
        <v>30000</v>
      </c>
      <c r="CB227" s="69">
        <f t="shared" si="168"/>
        <v>30000</v>
      </c>
      <c r="CC227" s="69">
        <f t="shared" si="168"/>
        <v>30000</v>
      </c>
      <c r="CD227" s="70">
        <f>BQ227</f>
        <v>30000</v>
      </c>
      <c r="CE227" s="70">
        <f>CC227</f>
        <v>30000</v>
      </c>
      <c r="CF227" s="2"/>
      <c r="CG227" s="69">
        <f>smp_open_oca</f>
        <v>30000</v>
      </c>
      <c r="CH227" s="69">
        <f t="shared" ref="CH227:DD227" si="169">CG228</f>
        <v>30000</v>
      </c>
      <c r="CI227" s="69">
        <f t="shared" si="169"/>
        <v>30000</v>
      </c>
      <c r="CJ227" s="69">
        <f t="shared" si="169"/>
        <v>30000</v>
      </c>
      <c r="CK227" s="69">
        <f t="shared" si="169"/>
        <v>30000</v>
      </c>
      <c r="CL227" s="69">
        <f t="shared" si="169"/>
        <v>30000</v>
      </c>
      <c r="CM227" s="69">
        <f t="shared" si="169"/>
        <v>30000</v>
      </c>
      <c r="CN227" s="69">
        <f t="shared" si="169"/>
        <v>30000</v>
      </c>
      <c r="CO227" s="69">
        <f t="shared" si="169"/>
        <v>30000</v>
      </c>
      <c r="CP227" s="69">
        <f t="shared" si="169"/>
        <v>30000</v>
      </c>
      <c r="CQ227" s="69">
        <f t="shared" si="169"/>
        <v>30000</v>
      </c>
      <c r="CR227" s="69">
        <f t="shared" si="169"/>
        <v>30000</v>
      </c>
      <c r="CS227" s="69">
        <f t="shared" si="169"/>
        <v>30000</v>
      </c>
      <c r="CT227" s="69">
        <f t="shared" si="169"/>
        <v>30000</v>
      </c>
      <c r="CU227" s="69">
        <f t="shared" si="169"/>
        <v>30000</v>
      </c>
      <c r="CV227" s="69">
        <f t="shared" si="169"/>
        <v>30000</v>
      </c>
      <c r="CW227" s="69">
        <f t="shared" si="169"/>
        <v>30000</v>
      </c>
      <c r="CX227" s="69">
        <f t="shared" si="169"/>
        <v>30000</v>
      </c>
      <c r="CY227" s="69">
        <f t="shared" si="169"/>
        <v>30000</v>
      </c>
      <c r="CZ227" s="69">
        <f t="shared" si="169"/>
        <v>30000</v>
      </c>
      <c r="DA227" s="69">
        <f t="shared" si="169"/>
        <v>30000</v>
      </c>
      <c r="DB227" s="69">
        <f t="shared" si="169"/>
        <v>30000</v>
      </c>
      <c r="DC227" s="69">
        <f t="shared" si="169"/>
        <v>30000</v>
      </c>
      <c r="DD227" s="69">
        <f t="shared" si="169"/>
        <v>30000</v>
      </c>
      <c r="DE227" s="70">
        <f>CR227</f>
        <v>30000</v>
      </c>
      <c r="DF227" s="70">
        <f>DD227</f>
        <v>30000</v>
      </c>
      <c r="DG227"/>
      <c r="DH227"/>
    </row>
    <row r="228" spans="1:112" hidden="1" x14ac:dyDescent="0.2">
      <c r="A228" s="1"/>
      <c r="B228" s="35" t="s">
        <v>150</v>
      </c>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2"/>
      <c r="AE228" s="69">
        <f t="shared" ref="AE228:BB228" si="170">smp_other_ca</f>
        <v>30000</v>
      </c>
      <c r="AF228" s="69">
        <f t="shared" si="170"/>
        <v>30000</v>
      </c>
      <c r="AG228" s="69">
        <f t="shared" si="170"/>
        <v>30000</v>
      </c>
      <c r="AH228" s="69">
        <f t="shared" si="170"/>
        <v>30000</v>
      </c>
      <c r="AI228" s="69">
        <f t="shared" si="170"/>
        <v>30000</v>
      </c>
      <c r="AJ228" s="69">
        <f t="shared" si="170"/>
        <v>30000</v>
      </c>
      <c r="AK228" s="69">
        <f t="shared" si="170"/>
        <v>30000</v>
      </c>
      <c r="AL228" s="69">
        <f t="shared" si="170"/>
        <v>30000</v>
      </c>
      <c r="AM228" s="69">
        <f t="shared" si="170"/>
        <v>30000</v>
      </c>
      <c r="AN228" s="69">
        <f t="shared" si="170"/>
        <v>30000</v>
      </c>
      <c r="AO228" s="69">
        <f t="shared" si="170"/>
        <v>30000</v>
      </c>
      <c r="AP228" s="69">
        <f t="shared" si="170"/>
        <v>30000</v>
      </c>
      <c r="AQ228" s="69">
        <f t="shared" si="170"/>
        <v>30000</v>
      </c>
      <c r="AR228" s="69">
        <f t="shared" si="170"/>
        <v>30000</v>
      </c>
      <c r="AS228" s="69">
        <f t="shared" si="170"/>
        <v>30000</v>
      </c>
      <c r="AT228" s="69">
        <f t="shared" si="170"/>
        <v>30000</v>
      </c>
      <c r="AU228" s="69">
        <f t="shared" si="170"/>
        <v>30000</v>
      </c>
      <c r="AV228" s="69">
        <f t="shared" si="170"/>
        <v>30000</v>
      </c>
      <c r="AW228" s="69">
        <f t="shared" si="170"/>
        <v>30000</v>
      </c>
      <c r="AX228" s="69">
        <f t="shared" si="170"/>
        <v>30000</v>
      </c>
      <c r="AY228" s="69">
        <f t="shared" si="170"/>
        <v>30000</v>
      </c>
      <c r="AZ228" s="69">
        <f t="shared" si="170"/>
        <v>30000</v>
      </c>
      <c r="BA228" s="69">
        <f t="shared" si="170"/>
        <v>30000</v>
      </c>
      <c r="BB228" s="69">
        <f t="shared" si="170"/>
        <v>30000</v>
      </c>
      <c r="BC228" s="70">
        <f>AP228</f>
        <v>30000</v>
      </c>
      <c r="BD228" s="70">
        <f>BB228</f>
        <v>30000</v>
      </c>
      <c r="BE228" s="2"/>
      <c r="BF228" s="69">
        <f t="shared" ref="BF228:CC228" si="171">smp_other_ca</f>
        <v>30000</v>
      </c>
      <c r="BG228" s="69">
        <f t="shared" si="171"/>
        <v>30000</v>
      </c>
      <c r="BH228" s="69">
        <f t="shared" si="171"/>
        <v>30000</v>
      </c>
      <c r="BI228" s="69">
        <f t="shared" si="171"/>
        <v>30000</v>
      </c>
      <c r="BJ228" s="69">
        <f t="shared" si="171"/>
        <v>30000</v>
      </c>
      <c r="BK228" s="69">
        <f t="shared" si="171"/>
        <v>30000</v>
      </c>
      <c r="BL228" s="69">
        <f t="shared" si="171"/>
        <v>30000</v>
      </c>
      <c r="BM228" s="69">
        <f t="shared" si="171"/>
        <v>30000</v>
      </c>
      <c r="BN228" s="69">
        <f t="shared" si="171"/>
        <v>30000</v>
      </c>
      <c r="BO228" s="69">
        <f t="shared" si="171"/>
        <v>30000</v>
      </c>
      <c r="BP228" s="69">
        <f t="shared" si="171"/>
        <v>30000</v>
      </c>
      <c r="BQ228" s="69">
        <f t="shared" si="171"/>
        <v>30000</v>
      </c>
      <c r="BR228" s="69">
        <f t="shared" si="171"/>
        <v>30000</v>
      </c>
      <c r="BS228" s="69">
        <f t="shared" si="171"/>
        <v>30000</v>
      </c>
      <c r="BT228" s="69">
        <f t="shared" si="171"/>
        <v>30000</v>
      </c>
      <c r="BU228" s="69">
        <f t="shared" si="171"/>
        <v>30000</v>
      </c>
      <c r="BV228" s="69">
        <f t="shared" si="171"/>
        <v>30000</v>
      </c>
      <c r="BW228" s="69">
        <f t="shared" si="171"/>
        <v>30000</v>
      </c>
      <c r="BX228" s="69">
        <f t="shared" si="171"/>
        <v>30000</v>
      </c>
      <c r="BY228" s="69">
        <f t="shared" si="171"/>
        <v>30000</v>
      </c>
      <c r="BZ228" s="69">
        <f t="shared" si="171"/>
        <v>30000</v>
      </c>
      <c r="CA228" s="69">
        <f t="shared" si="171"/>
        <v>30000</v>
      </c>
      <c r="CB228" s="69">
        <f t="shared" si="171"/>
        <v>30000</v>
      </c>
      <c r="CC228" s="69">
        <f t="shared" si="171"/>
        <v>30000</v>
      </c>
      <c r="CD228" s="70">
        <f>BQ228</f>
        <v>30000</v>
      </c>
      <c r="CE228" s="70">
        <f>CC228</f>
        <v>30000</v>
      </c>
      <c r="CF228" s="2"/>
      <c r="CG228" s="69">
        <f t="shared" ref="CG228:DD228" si="172">smp_other_ca</f>
        <v>30000</v>
      </c>
      <c r="CH228" s="69">
        <f t="shared" si="172"/>
        <v>30000</v>
      </c>
      <c r="CI228" s="69">
        <f t="shared" si="172"/>
        <v>30000</v>
      </c>
      <c r="CJ228" s="69">
        <f t="shared" si="172"/>
        <v>30000</v>
      </c>
      <c r="CK228" s="69">
        <f t="shared" si="172"/>
        <v>30000</v>
      </c>
      <c r="CL228" s="69">
        <f t="shared" si="172"/>
        <v>30000</v>
      </c>
      <c r="CM228" s="69">
        <f t="shared" si="172"/>
        <v>30000</v>
      </c>
      <c r="CN228" s="69">
        <f t="shared" si="172"/>
        <v>30000</v>
      </c>
      <c r="CO228" s="69">
        <f t="shared" si="172"/>
        <v>30000</v>
      </c>
      <c r="CP228" s="69">
        <f t="shared" si="172"/>
        <v>30000</v>
      </c>
      <c r="CQ228" s="69">
        <f t="shared" si="172"/>
        <v>30000</v>
      </c>
      <c r="CR228" s="69">
        <f t="shared" si="172"/>
        <v>30000</v>
      </c>
      <c r="CS228" s="69">
        <f t="shared" si="172"/>
        <v>30000</v>
      </c>
      <c r="CT228" s="69">
        <f t="shared" si="172"/>
        <v>30000</v>
      </c>
      <c r="CU228" s="69">
        <f t="shared" si="172"/>
        <v>30000</v>
      </c>
      <c r="CV228" s="69">
        <f t="shared" si="172"/>
        <v>30000</v>
      </c>
      <c r="CW228" s="69">
        <f t="shared" si="172"/>
        <v>30000</v>
      </c>
      <c r="CX228" s="69">
        <f t="shared" si="172"/>
        <v>30000</v>
      </c>
      <c r="CY228" s="69">
        <f t="shared" si="172"/>
        <v>30000</v>
      </c>
      <c r="CZ228" s="69">
        <f t="shared" si="172"/>
        <v>30000</v>
      </c>
      <c r="DA228" s="69">
        <f t="shared" si="172"/>
        <v>30000</v>
      </c>
      <c r="DB228" s="69">
        <f t="shared" si="172"/>
        <v>30000</v>
      </c>
      <c r="DC228" s="69">
        <f t="shared" si="172"/>
        <v>30000</v>
      </c>
      <c r="DD228" s="69">
        <f t="shared" si="172"/>
        <v>30000</v>
      </c>
      <c r="DE228" s="70">
        <f>CR228</f>
        <v>30000</v>
      </c>
      <c r="DF228" s="70">
        <f>DD228</f>
        <v>30000</v>
      </c>
      <c r="DG228"/>
      <c r="DH228"/>
    </row>
    <row r="229" spans="1:112" hidden="1" x14ac:dyDescent="0.2">
      <c r="A229" s="1"/>
      <c r="B229" s="35" t="s">
        <v>151</v>
      </c>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2"/>
      <c r="AE229" s="69">
        <f t="shared" ref="AE229:BB229" si="173">AE228-AE227</f>
        <v>0</v>
      </c>
      <c r="AF229" s="69">
        <f t="shared" si="173"/>
        <v>0</v>
      </c>
      <c r="AG229" s="69">
        <f t="shared" si="173"/>
        <v>0</v>
      </c>
      <c r="AH229" s="69">
        <f t="shared" si="173"/>
        <v>0</v>
      </c>
      <c r="AI229" s="69">
        <f t="shared" si="173"/>
        <v>0</v>
      </c>
      <c r="AJ229" s="69">
        <f t="shared" si="173"/>
        <v>0</v>
      </c>
      <c r="AK229" s="69">
        <f t="shared" si="173"/>
        <v>0</v>
      </c>
      <c r="AL229" s="69">
        <f t="shared" si="173"/>
        <v>0</v>
      </c>
      <c r="AM229" s="69">
        <f t="shared" si="173"/>
        <v>0</v>
      </c>
      <c r="AN229" s="69">
        <f t="shared" si="173"/>
        <v>0</v>
      </c>
      <c r="AO229" s="69">
        <f t="shared" si="173"/>
        <v>0</v>
      </c>
      <c r="AP229" s="69">
        <f t="shared" si="173"/>
        <v>0</v>
      </c>
      <c r="AQ229" s="69">
        <f t="shared" si="173"/>
        <v>0</v>
      </c>
      <c r="AR229" s="69">
        <f t="shared" si="173"/>
        <v>0</v>
      </c>
      <c r="AS229" s="69">
        <f t="shared" si="173"/>
        <v>0</v>
      </c>
      <c r="AT229" s="69">
        <f t="shared" si="173"/>
        <v>0</v>
      </c>
      <c r="AU229" s="69">
        <f t="shared" si="173"/>
        <v>0</v>
      </c>
      <c r="AV229" s="69">
        <f t="shared" si="173"/>
        <v>0</v>
      </c>
      <c r="AW229" s="69">
        <f t="shared" si="173"/>
        <v>0</v>
      </c>
      <c r="AX229" s="69">
        <f t="shared" si="173"/>
        <v>0</v>
      </c>
      <c r="AY229" s="69">
        <f t="shared" si="173"/>
        <v>0</v>
      </c>
      <c r="AZ229" s="69">
        <f t="shared" si="173"/>
        <v>0</v>
      </c>
      <c r="BA229" s="69">
        <f t="shared" si="173"/>
        <v>0</v>
      </c>
      <c r="BB229" s="69">
        <f t="shared" si="173"/>
        <v>0</v>
      </c>
      <c r="BC229" s="70">
        <f>SUM(AE229:AP229)</f>
        <v>0</v>
      </c>
      <c r="BD229" s="70">
        <f>SUM(AQ229:BB229)</f>
        <v>0</v>
      </c>
      <c r="BE229" s="2"/>
      <c r="BF229" s="69">
        <f t="shared" ref="BF229:CC229" si="174">BF228-BF227</f>
        <v>0</v>
      </c>
      <c r="BG229" s="69">
        <f t="shared" si="174"/>
        <v>0</v>
      </c>
      <c r="BH229" s="69">
        <f t="shared" si="174"/>
        <v>0</v>
      </c>
      <c r="BI229" s="69">
        <f t="shared" si="174"/>
        <v>0</v>
      </c>
      <c r="BJ229" s="69">
        <f t="shared" si="174"/>
        <v>0</v>
      </c>
      <c r="BK229" s="69">
        <f t="shared" si="174"/>
        <v>0</v>
      </c>
      <c r="BL229" s="69">
        <f t="shared" si="174"/>
        <v>0</v>
      </c>
      <c r="BM229" s="69">
        <f t="shared" si="174"/>
        <v>0</v>
      </c>
      <c r="BN229" s="69">
        <f t="shared" si="174"/>
        <v>0</v>
      </c>
      <c r="BO229" s="69">
        <f t="shared" si="174"/>
        <v>0</v>
      </c>
      <c r="BP229" s="69">
        <f t="shared" si="174"/>
        <v>0</v>
      </c>
      <c r="BQ229" s="69">
        <f t="shared" si="174"/>
        <v>0</v>
      </c>
      <c r="BR229" s="69">
        <f t="shared" si="174"/>
        <v>0</v>
      </c>
      <c r="BS229" s="69">
        <f t="shared" si="174"/>
        <v>0</v>
      </c>
      <c r="BT229" s="69">
        <f t="shared" si="174"/>
        <v>0</v>
      </c>
      <c r="BU229" s="69">
        <f t="shared" si="174"/>
        <v>0</v>
      </c>
      <c r="BV229" s="69">
        <f t="shared" si="174"/>
        <v>0</v>
      </c>
      <c r="BW229" s="69">
        <f t="shared" si="174"/>
        <v>0</v>
      </c>
      <c r="BX229" s="69">
        <f t="shared" si="174"/>
        <v>0</v>
      </c>
      <c r="BY229" s="69">
        <f t="shared" si="174"/>
        <v>0</v>
      </c>
      <c r="BZ229" s="69">
        <f t="shared" si="174"/>
        <v>0</v>
      </c>
      <c r="CA229" s="69">
        <f t="shared" si="174"/>
        <v>0</v>
      </c>
      <c r="CB229" s="69">
        <f t="shared" si="174"/>
        <v>0</v>
      </c>
      <c r="CC229" s="69">
        <f t="shared" si="174"/>
        <v>0</v>
      </c>
      <c r="CD229" s="70">
        <f>SUM(BF229:BQ229)</f>
        <v>0</v>
      </c>
      <c r="CE229" s="70">
        <f>SUM(BR229:CC229)</f>
        <v>0</v>
      </c>
      <c r="CF229" s="2"/>
      <c r="CG229" s="69">
        <f t="shared" ref="CG229:DD229" si="175">CG228-CG227</f>
        <v>0</v>
      </c>
      <c r="CH229" s="69">
        <f t="shared" si="175"/>
        <v>0</v>
      </c>
      <c r="CI229" s="69">
        <f t="shared" si="175"/>
        <v>0</v>
      </c>
      <c r="CJ229" s="69">
        <f t="shared" si="175"/>
        <v>0</v>
      </c>
      <c r="CK229" s="69">
        <f t="shared" si="175"/>
        <v>0</v>
      </c>
      <c r="CL229" s="69">
        <f t="shared" si="175"/>
        <v>0</v>
      </c>
      <c r="CM229" s="69">
        <f t="shared" si="175"/>
        <v>0</v>
      </c>
      <c r="CN229" s="69">
        <f t="shared" si="175"/>
        <v>0</v>
      </c>
      <c r="CO229" s="69">
        <f t="shared" si="175"/>
        <v>0</v>
      </c>
      <c r="CP229" s="69">
        <f t="shared" si="175"/>
        <v>0</v>
      </c>
      <c r="CQ229" s="69">
        <f t="shared" si="175"/>
        <v>0</v>
      </c>
      <c r="CR229" s="69">
        <f t="shared" si="175"/>
        <v>0</v>
      </c>
      <c r="CS229" s="69">
        <f t="shared" si="175"/>
        <v>0</v>
      </c>
      <c r="CT229" s="69">
        <f t="shared" si="175"/>
        <v>0</v>
      </c>
      <c r="CU229" s="69">
        <f t="shared" si="175"/>
        <v>0</v>
      </c>
      <c r="CV229" s="69">
        <f t="shared" si="175"/>
        <v>0</v>
      </c>
      <c r="CW229" s="69">
        <f t="shared" si="175"/>
        <v>0</v>
      </c>
      <c r="CX229" s="69">
        <f t="shared" si="175"/>
        <v>0</v>
      </c>
      <c r="CY229" s="69">
        <f t="shared" si="175"/>
        <v>0</v>
      </c>
      <c r="CZ229" s="69">
        <f t="shared" si="175"/>
        <v>0</v>
      </c>
      <c r="DA229" s="69">
        <f t="shared" si="175"/>
        <v>0</v>
      </c>
      <c r="DB229" s="69">
        <f t="shared" si="175"/>
        <v>0</v>
      </c>
      <c r="DC229" s="69">
        <f t="shared" si="175"/>
        <v>0</v>
      </c>
      <c r="DD229" s="69">
        <f t="shared" si="175"/>
        <v>0</v>
      </c>
      <c r="DE229" s="70">
        <f>SUM(CG229:CR229)</f>
        <v>0</v>
      </c>
      <c r="DF229" s="70">
        <f>SUM(CS229:DD229)</f>
        <v>0</v>
      </c>
      <c r="DG229"/>
      <c r="DH229"/>
    </row>
    <row r="230" spans="1:112" hidden="1" x14ac:dyDescent="0.2">
      <c r="A230" s="1"/>
      <c r="B230" s="35" t="s">
        <v>152</v>
      </c>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2"/>
      <c r="AE230" s="69">
        <f>smp_open_ocl</f>
        <v>24000</v>
      </c>
      <c r="AF230" s="69">
        <f t="shared" ref="AF230:BB230" si="176">AE231</f>
        <v>24000</v>
      </c>
      <c r="AG230" s="69">
        <f t="shared" si="176"/>
        <v>24000</v>
      </c>
      <c r="AH230" s="69">
        <f t="shared" si="176"/>
        <v>24000</v>
      </c>
      <c r="AI230" s="69">
        <f t="shared" si="176"/>
        <v>24000</v>
      </c>
      <c r="AJ230" s="69">
        <f t="shared" si="176"/>
        <v>24000</v>
      </c>
      <c r="AK230" s="69">
        <f t="shared" si="176"/>
        <v>24000</v>
      </c>
      <c r="AL230" s="69">
        <f t="shared" si="176"/>
        <v>24000</v>
      </c>
      <c r="AM230" s="69">
        <f t="shared" si="176"/>
        <v>24000</v>
      </c>
      <c r="AN230" s="69">
        <f t="shared" si="176"/>
        <v>24000</v>
      </c>
      <c r="AO230" s="69">
        <f t="shared" si="176"/>
        <v>24000</v>
      </c>
      <c r="AP230" s="69">
        <f t="shared" si="176"/>
        <v>24000</v>
      </c>
      <c r="AQ230" s="69">
        <f t="shared" si="176"/>
        <v>24000</v>
      </c>
      <c r="AR230" s="69">
        <f t="shared" si="176"/>
        <v>24000</v>
      </c>
      <c r="AS230" s="69">
        <f t="shared" si="176"/>
        <v>24000</v>
      </c>
      <c r="AT230" s="69">
        <f t="shared" si="176"/>
        <v>24000</v>
      </c>
      <c r="AU230" s="69">
        <f t="shared" si="176"/>
        <v>24000</v>
      </c>
      <c r="AV230" s="69">
        <f t="shared" si="176"/>
        <v>24000</v>
      </c>
      <c r="AW230" s="69">
        <f t="shared" si="176"/>
        <v>24000</v>
      </c>
      <c r="AX230" s="69">
        <f t="shared" si="176"/>
        <v>24000</v>
      </c>
      <c r="AY230" s="69">
        <f t="shared" si="176"/>
        <v>24000</v>
      </c>
      <c r="AZ230" s="69">
        <f t="shared" si="176"/>
        <v>24000</v>
      </c>
      <c r="BA230" s="69">
        <f t="shared" si="176"/>
        <v>24000</v>
      </c>
      <c r="BB230" s="69">
        <f t="shared" si="176"/>
        <v>24000</v>
      </c>
      <c r="BC230" s="70">
        <f>AP230</f>
        <v>24000</v>
      </c>
      <c r="BD230" s="70">
        <f>BB230</f>
        <v>24000</v>
      </c>
      <c r="BE230" s="2"/>
      <c r="BF230" s="69">
        <f>smp_open_ocl</f>
        <v>24000</v>
      </c>
      <c r="BG230" s="69">
        <f t="shared" ref="BG230:CC230" si="177">BF231</f>
        <v>24000</v>
      </c>
      <c r="BH230" s="69">
        <f t="shared" si="177"/>
        <v>24000</v>
      </c>
      <c r="BI230" s="69">
        <f t="shared" si="177"/>
        <v>24000</v>
      </c>
      <c r="BJ230" s="69">
        <f t="shared" si="177"/>
        <v>24000</v>
      </c>
      <c r="BK230" s="69">
        <f t="shared" si="177"/>
        <v>24000</v>
      </c>
      <c r="BL230" s="69">
        <f t="shared" si="177"/>
        <v>24000</v>
      </c>
      <c r="BM230" s="69">
        <f t="shared" si="177"/>
        <v>24000</v>
      </c>
      <c r="BN230" s="69">
        <f t="shared" si="177"/>
        <v>24000</v>
      </c>
      <c r="BO230" s="69">
        <f t="shared" si="177"/>
        <v>24000</v>
      </c>
      <c r="BP230" s="69">
        <f t="shared" si="177"/>
        <v>24000</v>
      </c>
      <c r="BQ230" s="69">
        <f t="shared" si="177"/>
        <v>24000</v>
      </c>
      <c r="BR230" s="69">
        <f t="shared" si="177"/>
        <v>24000</v>
      </c>
      <c r="BS230" s="69">
        <f t="shared" si="177"/>
        <v>24000</v>
      </c>
      <c r="BT230" s="69">
        <f t="shared" si="177"/>
        <v>24000</v>
      </c>
      <c r="BU230" s="69">
        <f t="shared" si="177"/>
        <v>24000</v>
      </c>
      <c r="BV230" s="69">
        <f t="shared" si="177"/>
        <v>24000</v>
      </c>
      <c r="BW230" s="69">
        <f t="shared" si="177"/>
        <v>24000</v>
      </c>
      <c r="BX230" s="69">
        <f t="shared" si="177"/>
        <v>24000</v>
      </c>
      <c r="BY230" s="69">
        <f t="shared" si="177"/>
        <v>24000</v>
      </c>
      <c r="BZ230" s="69">
        <f t="shared" si="177"/>
        <v>24000</v>
      </c>
      <c r="CA230" s="69">
        <f t="shared" si="177"/>
        <v>24000</v>
      </c>
      <c r="CB230" s="69">
        <f t="shared" si="177"/>
        <v>24000</v>
      </c>
      <c r="CC230" s="69">
        <f t="shared" si="177"/>
        <v>24000</v>
      </c>
      <c r="CD230" s="70">
        <f>BQ230</f>
        <v>24000</v>
      </c>
      <c r="CE230" s="70">
        <f>CC230</f>
        <v>24000</v>
      </c>
      <c r="CF230" s="2"/>
      <c r="CG230" s="69">
        <f>smp_open_ocl</f>
        <v>24000</v>
      </c>
      <c r="CH230" s="69">
        <f t="shared" ref="CH230:DD230" si="178">CG231</f>
        <v>24000</v>
      </c>
      <c r="CI230" s="69">
        <f t="shared" si="178"/>
        <v>24000</v>
      </c>
      <c r="CJ230" s="69">
        <f t="shared" si="178"/>
        <v>24000</v>
      </c>
      <c r="CK230" s="69">
        <f t="shared" si="178"/>
        <v>24000</v>
      </c>
      <c r="CL230" s="69">
        <f t="shared" si="178"/>
        <v>24000</v>
      </c>
      <c r="CM230" s="69">
        <f t="shared" si="178"/>
        <v>24000</v>
      </c>
      <c r="CN230" s="69">
        <f t="shared" si="178"/>
        <v>24000</v>
      </c>
      <c r="CO230" s="69">
        <f t="shared" si="178"/>
        <v>24000</v>
      </c>
      <c r="CP230" s="69">
        <f t="shared" si="178"/>
        <v>24000</v>
      </c>
      <c r="CQ230" s="69">
        <f t="shared" si="178"/>
        <v>24000</v>
      </c>
      <c r="CR230" s="69">
        <f t="shared" si="178"/>
        <v>24000</v>
      </c>
      <c r="CS230" s="69">
        <f t="shared" si="178"/>
        <v>24000</v>
      </c>
      <c r="CT230" s="69">
        <f t="shared" si="178"/>
        <v>24000</v>
      </c>
      <c r="CU230" s="69">
        <f t="shared" si="178"/>
        <v>24000</v>
      </c>
      <c r="CV230" s="69">
        <f t="shared" si="178"/>
        <v>24000</v>
      </c>
      <c r="CW230" s="69">
        <f t="shared" si="178"/>
        <v>24000</v>
      </c>
      <c r="CX230" s="69">
        <f t="shared" si="178"/>
        <v>24000</v>
      </c>
      <c r="CY230" s="69">
        <f t="shared" si="178"/>
        <v>24000</v>
      </c>
      <c r="CZ230" s="69">
        <f t="shared" si="178"/>
        <v>24000</v>
      </c>
      <c r="DA230" s="69">
        <f t="shared" si="178"/>
        <v>24000</v>
      </c>
      <c r="DB230" s="69">
        <f t="shared" si="178"/>
        <v>24000</v>
      </c>
      <c r="DC230" s="69">
        <f t="shared" si="178"/>
        <v>24000</v>
      </c>
      <c r="DD230" s="69">
        <f t="shared" si="178"/>
        <v>24000</v>
      </c>
      <c r="DE230" s="70">
        <f>CR230</f>
        <v>24000</v>
      </c>
      <c r="DF230" s="70">
        <f>DD230</f>
        <v>24000</v>
      </c>
      <c r="DG230"/>
      <c r="DH230"/>
    </row>
    <row r="231" spans="1:112" hidden="1" x14ac:dyDescent="0.2">
      <c r="A231" s="1"/>
      <c r="B231" s="35" t="s">
        <v>153</v>
      </c>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2"/>
      <c r="AE231" s="69">
        <f t="shared" ref="AE231:BB231" si="179">smp_other_cl</f>
        <v>24000</v>
      </c>
      <c r="AF231" s="69">
        <f t="shared" si="179"/>
        <v>24000</v>
      </c>
      <c r="AG231" s="69">
        <f t="shared" si="179"/>
        <v>24000</v>
      </c>
      <c r="AH231" s="69">
        <f t="shared" si="179"/>
        <v>24000</v>
      </c>
      <c r="AI231" s="69">
        <f t="shared" si="179"/>
        <v>24000</v>
      </c>
      <c r="AJ231" s="69">
        <f t="shared" si="179"/>
        <v>24000</v>
      </c>
      <c r="AK231" s="69">
        <f t="shared" si="179"/>
        <v>24000</v>
      </c>
      <c r="AL231" s="69">
        <f t="shared" si="179"/>
        <v>24000</v>
      </c>
      <c r="AM231" s="69">
        <f t="shared" si="179"/>
        <v>24000</v>
      </c>
      <c r="AN231" s="69">
        <f t="shared" si="179"/>
        <v>24000</v>
      </c>
      <c r="AO231" s="69">
        <f t="shared" si="179"/>
        <v>24000</v>
      </c>
      <c r="AP231" s="69">
        <f t="shared" si="179"/>
        <v>24000</v>
      </c>
      <c r="AQ231" s="69">
        <f t="shared" si="179"/>
        <v>24000</v>
      </c>
      <c r="AR231" s="69">
        <f t="shared" si="179"/>
        <v>24000</v>
      </c>
      <c r="AS231" s="69">
        <f t="shared" si="179"/>
        <v>24000</v>
      </c>
      <c r="AT231" s="69">
        <f t="shared" si="179"/>
        <v>24000</v>
      </c>
      <c r="AU231" s="69">
        <f t="shared" si="179"/>
        <v>24000</v>
      </c>
      <c r="AV231" s="69">
        <f t="shared" si="179"/>
        <v>24000</v>
      </c>
      <c r="AW231" s="69">
        <f t="shared" si="179"/>
        <v>24000</v>
      </c>
      <c r="AX231" s="69">
        <f t="shared" si="179"/>
        <v>24000</v>
      </c>
      <c r="AY231" s="69">
        <f t="shared" si="179"/>
        <v>24000</v>
      </c>
      <c r="AZ231" s="69">
        <f t="shared" si="179"/>
        <v>24000</v>
      </c>
      <c r="BA231" s="69">
        <f t="shared" si="179"/>
        <v>24000</v>
      </c>
      <c r="BB231" s="69">
        <f t="shared" si="179"/>
        <v>24000</v>
      </c>
      <c r="BC231" s="70">
        <f>AP231</f>
        <v>24000</v>
      </c>
      <c r="BD231" s="70">
        <f>BB231</f>
        <v>24000</v>
      </c>
      <c r="BE231" s="2"/>
      <c r="BF231" s="69">
        <f t="shared" ref="BF231:CC231" si="180">smp_other_cl</f>
        <v>24000</v>
      </c>
      <c r="BG231" s="69">
        <f t="shared" si="180"/>
        <v>24000</v>
      </c>
      <c r="BH231" s="69">
        <f t="shared" si="180"/>
        <v>24000</v>
      </c>
      <c r="BI231" s="69">
        <f t="shared" si="180"/>
        <v>24000</v>
      </c>
      <c r="BJ231" s="69">
        <f t="shared" si="180"/>
        <v>24000</v>
      </c>
      <c r="BK231" s="69">
        <f t="shared" si="180"/>
        <v>24000</v>
      </c>
      <c r="BL231" s="69">
        <f t="shared" si="180"/>
        <v>24000</v>
      </c>
      <c r="BM231" s="69">
        <f t="shared" si="180"/>
        <v>24000</v>
      </c>
      <c r="BN231" s="69">
        <f t="shared" si="180"/>
        <v>24000</v>
      </c>
      <c r="BO231" s="69">
        <f t="shared" si="180"/>
        <v>24000</v>
      </c>
      <c r="BP231" s="69">
        <f t="shared" si="180"/>
        <v>24000</v>
      </c>
      <c r="BQ231" s="69">
        <f t="shared" si="180"/>
        <v>24000</v>
      </c>
      <c r="BR231" s="69">
        <f t="shared" si="180"/>
        <v>24000</v>
      </c>
      <c r="BS231" s="69">
        <f t="shared" si="180"/>
        <v>24000</v>
      </c>
      <c r="BT231" s="69">
        <f t="shared" si="180"/>
        <v>24000</v>
      </c>
      <c r="BU231" s="69">
        <f t="shared" si="180"/>
        <v>24000</v>
      </c>
      <c r="BV231" s="69">
        <f t="shared" si="180"/>
        <v>24000</v>
      </c>
      <c r="BW231" s="69">
        <f t="shared" si="180"/>
        <v>24000</v>
      </c>
      <c r="BX231" s="69">
        <f t="shared" si="180"/>
        <v>24000</v>
      </c>
      <c r="BY231" s="69">
        <f t="shared" si="180"/>
        <v>24000</v>
      </c>
      <c r="BZ231" s="69">
        <f t="shared" si="180"/>
        <v>24000</v>
      </c>
      <c r="CA231" s="69">
        <f t="shared" si="180"/>
        <v>24000</v>
      </c>
      <c r="CB231" s="69">
        <f t="shared" si="180"/>
        <v>24000</v>
      </c>
      <c r="CC231" s="69">
        <f t="shared" si="180"/>
        <v>24000</v>
      </c>
      <c r="CD231" s="70">
        <f>BQ231</f>
        <v>24000</v>
      </c>
      <c r="CE231" s="70">
        <f>CC231</f>
        <v>24000</v>
      </c>
      <c r="CF231" s="2"/>
      <c r="CG231" s="69">
        <f t="shared" ref="CG231:DD231" si="181">smp_other_cl</f>
        <v>24000</v>
      </c>
      <c r="CH231" s="69">
        <f t="shared" si="181"/>
        <v>24000</v>
      </c>
      <c r="CI231" s="69">
        <f t="shared" si="181"/>
        <v>24000</v>
      </c>
      <c r="CJ231" s="69">
        <f t="shared" si="181"/>
        <v>24000</v>
      </c>
      <c r="CK231" s="69">
        <f t="shared" si="181"/>
        <v>24000</v>
      </c>
      <c r="CL231" s="69">
        <f t="shared" si="181"/>
        <v>24000</v>
      </c>
      <c r="CM231" s="69">
        <f t="shared" si="181"/>
        <v>24000</v>
      </c>
      <c r="CN231" s="69">
        <f t="shared" si="181"/>
        <v>24000</v>
      </c>
      <c r="CO231" s="69">
        <f t="shared" si="181"/>
        <v>24000</v>
      </c>
      <c r="CP231" s="69">
        <f t="shared" si="181"/>
        <v>24000</v>
      </c>
      <c r="CQ231" s="69">
        <f t="shared" si="181"/>
        <v>24000</v>
      </c>
      <c r="CR231" s="69">
        <f t="shared" si="181"/>
        <v>24000</v>
      </c>
      <c r="CS231" s="69">
        <f t="shared" si="181"/>
        <v>24000</v>
      </c>
      <c r="CT231" s="69">
        <f t="shared" si="181"/>
        <v>24000</v>
      </c>
      <c r="CU231" s="69">
        <f t="shared" si="181"/>
        <v>24000</v>
      </c>
      <c r="CV231" s="69">
        <f t="shared" si="181"/>
        <v>24000</v>
      </c>
      <c r="CW231" s="69">
        <f t="shared" si="181"/>
        <v>24000</v>
      </c>
      <c r="CX231" s="69">
        <f t="shared" si="181"/>
        <v>24000</v>
      </c>
      <c r="CY231" s="69">
        <f t="shared" si="181"/>
        <v>24000</v>
      </c>
      <c r="CZ231" s="69">
        <f t="shared" si="181"/>
        <v>24000</v>
      </c>
      <c r="DA231" s="69">
        <f t="shared" si="181"/>
        <v>24000</v>
      </c>
      <c r="DB231" s="69">
        <f t="shared" si="181"/>
        <v>24000</v>
      </c>
      <c r="DC231" s="69">
        <f t="shared" si="181"/>
        <v>24000</v>
      </c>
      <c r="DD231" s="69">
        <f t="shared" si="181"/>
        <v>24000</v>
      </c>
      <c r="DE231" s="70">
        <f>CR231</f>
        <v>24000</v>
      </c>
      <c r="DF231" s="70">
        <f>DD231</f>
        <v>24000</v>
      </c>
      <c r="DG231"/>
      <c r="DH231"/>
    </row>
    <row r="232" spans="1:112" hidden="1" x14ac:dyDescent="0.2">
      <c r="A232" s="1"/>
      <c r="B232" s="35" t="s">
        <v>154</v>
      </c>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2"/>
      <c r="AE232" s="69">
        <f t="shared" ref="AE232:BB232" si="182">AE231-AE230</f>
        <v>0</v>
      </c>
      <c r="AF232" s="69">
        <f t="shared" si="182"/>
        <v>0</v>
      </c>
      <c r="AG232" s="69">
        <f t="shared" si="182"/>
        <v>0</v>
      </c>
      <c r="AH232" s="69">
        <f t="shared" si="182"/>
        <v>0</v>
      </c>
      <c r="AI232" s="69">
        <f t="shared" si="182"/>
        <v>0</v>
      </c>
      <c r="AJ232" s="69">
        <f t="shared" si="182"/>
        <v>0</v>
      </c>
      <c r="AK232" s="69">
        <f t="shared" si="182"/>
        <v>0</v>
      </c>
      <c r="AL232" s="69">
        <f t="shared" si="182"/>
        <v>0</v>
      </c>
      <c r="AM232" s="69">
        <f t="shared" si="182"/>
        <v>0</v>
      </c>
      <c r="AN232" s="69">
        <f t="shared" si="182"/>
        <v>0</v>
      </c>
      <c r="AO232" s="69">
        <f t="shared" si="182"/>
        <v>0</v>
      </c>
      <c r="AP232" s="69">
        <f t="shared" si="182"/>
        <v>0</v>
      </c>
      <c r="AQ232" s="69">
        <f t="shared" si="182"/>
        <v>0</v>
      </c>
      <c r="AR232" s="69">
        <f t="shared" si="182"/>
        <v>0</v>
      </c>
      <c r="AS232" s="69">
        <f t="shared" si="182"/>
        <v>0</v>
      </c>
      <c r="AT232" s="69">
        <f t="shared" si="182"/>
        <v>0</v>
      </c>
      <c r="AU232" s="69">
        <f t="shared" si="182"/>
        <v>0</v>
      </c>
      <c r="AV232" s="69">
        <f t="shared" si="182"/>
        <v>0</v>
      </c>
      <c r="AW232" s="69">
        <f t="shared" si="182"/>
        <v>0</v>
      </c>
      <c r="AX232" s="69">
        <f t="shared" si="182"/>
        <v>0</v>
      </c>
      <c r="AY232" s="69">
        <f t="shared" si="182"/>
        <v>0</v>
      </c>
      <c r="AZ232" s="69">
        <f t="shared" si="182"/>
        <v>0</v>
      </c>
      <c r="BA232" s="69">
        <f t="shared" si="182"/>
        <v>0</v>
      </c>
      <c r="BB232" s="69">
        <f t="shared" si="182"/>
        <v>0</v>
      </c>
      <c r="BC232" s="70">
        <f>SUM(AE232:AP232)</f>
        <v>0</v>
      </c>
      <c r="BD232" s="70">
        <f>SUM(AQ232:BB232)</f>
        <v>0</v>
      </c>
      <c r="BE232" s="2"/>
      <c r="BF232" s="69">
        <f t="shared" ref="BF232:CC232" si="183">BF231-BF230</f>
        <v>0</v>
      </c>
      <c r="BG232" s="69">
        <f t="shared" si="183"/>
        <v>0</v>
      </c>
      <c r="BH232" s="69">
        <f t="shared" si="183"/>
        <v>0</v>
      </c>
      <c r="BI232" s="69">
        <f t="shared" si="183"/>
        <v>0</v>
      </c>
      <c r="BJ232" s="69">
        <f t="shared" si="183"/>
        <v>0</v>
      </c>
      <c r="BK232" s="69">
        <f t="shared" si="183"/>
        <v>0</v>
      </c>
      <c r="BL232" s="69">
        <f t="shared" si="183"/>
        <v>0</v>
      </c>
      <c r="BM232" s="69">
        <f t="shared" si="183"/>
        <v>0</v>
      </c>
      <c r="BN232" s="69">
        <f t="shared" si="183"/>
        <v>0</v>
      </c>
      <c r="BO232" s="69">
        <f t="shared" si="183"/>
        <v>0</v>
      </c>
      <c r="BP232" s="69">
        <f t="shared" si="183"/>
        <v>0</v>
      </c>
      <c r="BQ232" s="69">
        <f t="shared" si="183"/>
        <v>0</v>
      </c>
      <c r="BR232" s="69">
        <f t="shared" si="183"/>
        <v>0</v>
      </c>
      <c r="BS232" s="69">
        <f t="shared" si="183"/>
        <v>0</v>
      </c>
      <c r="BT232" s="69">
        <f t="shared" si="183"/>
        <v>0</v>
      </c>
      <c r="BU232" s="69">
        <f t="shared" si="183"/>
        <v>0</v>
      </c>
      <c r="BV232" s="69">
        <f t="shared" si="183"/>
        <v>0</v>
      </c>
      <c r="BW232" s="69">
        <f t="shared" si="183"/>
        <v>0</v>
      </c>
      <c r="BX232" s="69">
        <f t="shared" si="183"/>
        <v>0</v>
      </c>
      <c r="BY232" s="69">
        <f t="shared" si="183"/>
        <v>0</v>
      </c>
      <c r="BZ232" s="69">
        <f t="shared" si="183"/>
        <v>0</v>
      </c>
      <c r="CA232" s="69">
        <f t="shared" si="183"/>
        <v>0</v>
      </c>
      <c r="CB232" s="69">
        <f t="shared" si="183"/>
        <v>0</v>
      </c>
      <c r="CC232" s="69">
        <f t="shared" si="183"/>
        <v>0</v>
      </c>
      <c r="CD232" s="70">
        <f>SUM(BF232:BQ232)</f>
        <v>0</v>
      </c>
      <c r="CE232" s="70">
        <f>SUM(BR232:CC232)</f>
        <v>0</v>
      </c>
      <c r="CF232" s="2"/>
      <c r="CG232" s="69">
        <f t="shared" ref="CG232:DD232" si="184">CG231-CG230</f>
        <v>0</v>
      </c>
      <c r="CH232" s="69">
        <f t="shared" si="184"/>
        <v>0</v>
      </c>
      <c r="CI232" s="69">
        <f t="shared" si="184"/>
        <v>0</v>
      </c>
      <c r="CJ232" s="69">
        <f t="shared" si="184"/>
        <v>0</v>
      </c>
      <c r="CK232" s="69">
        <f t="shared" si="184"/>
        <v>0</v>
      </c>
      <c r="CL232" s="69">
        <f t="shared" si="184"/>
        <v>0</v>
      </c>
      <c r="CM232" s="69">
        <f t="shared" si="184"/>
        <v>0</v>
      </c>
      <c r="CN232" s="69">
        <f t="shared" si="184"/>
        <v>0</v>
      </c>
      <c r="CO232" s="69">
        <f t="shared" si="184"/>
        <v>0</v>
      </c>
      <c r="CP232" s="69">
        <f t="shared" si="184"/>
        <v>0</v>
      </c>
      <c r="CQ232" s="69">
        <f t="shared" si="184"/>
        <v>0</v>
      </c>
      <c r="CR232" s="69">
        <f t="shared" si="184"/>
        <v>0</v>
      </c>
      <c r="CS232" s="69">
        <f t="shared" si="184"/>
        <v>0</v>
      </c>
      <c r="CT232" s="69">
        <f t="shared" si="184"/>
        <v>0</v>
      </c>
      <c r="CU232" s="69">
        <f t="shared" si="184"/>
        <v>0</v>
      </c>
      <c r="CV232" s="69">
        <f t="shared" si="184"/>
        <v>0</v>
      </c>
      <c r="CW232" s="69">
        <f t="shared" si="184"/>
        <v>0</v>
      </c>
      <c r="CX232" s="69">
        <f t="shared" si="184"/>
        <v>0</v>
      </c>
      <c r="CY232" s="69">
        <f t="shared" si="184"/>
        <v>0</v>
      </c>
      <c r="CZ232" s="69">
        <f t="shared" si="184"/>
        <v>0</v>
      </c>
      <c r="DA232" s="69">
        <f t="shared" si="184"/>
        <v>0</v>
      </c>
      <c r="DB232" s="69">
        <f t="shared" si="184"/>
        <v>0</v>
      </c>
      <c r="DC232" s="69">
        <f t="shared" si="184"/>
        <v>0</v>
      </c>
      <c r="DD232" s="69">
        <f t="shared" si="184"/>
        <v>0</v>
      </c>
      <c r="DE232" s="70">
        <f>SUM(CG232:CR232)</f>
        <v>0</v>
      </c>
      <c r="DF232" s="70">
        <f>SUM(CS232:DD232)</f>
        <v>0</v>
      </c>
      <c r="DG232"/>
      <c r="DH232"/>
    </row>
    <row r="233" spans="1:112" hidden="1" x14ac:dyDescent="0.2">
      <c r="A233" s="1"/>
      <c r="B233" s="35" t="s">
        <v>155</v>
      </c>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2"/>
      <c r="AE233" s="69">
        <f>INDEX(smp_tax_pay_pct,1)*SUM(AE218:AP218)</f>
        <v>0</v>
      </c>
      <c r="AF233" s="69">
        <f>INDEX(smp_tax_pay_pct,2)*SUM(AE218:AP218)</f>
        <v>0</v>
      </c>
      <c r="AG233" s="69">
        <f>INDEX(smp_tax_pay_pct,3)*SUM(AE218:AP218)</f>
        <v>0</v>
      </c>
      <c r="AH233" s="69">
        <f>INDEX(smp_tax_pay_pct,4)*SUM(AE218:AP218)</f>
        <v>41969.729843750014</v>
      </c>
      <c r="AI233" s="69">
        <f>INDEX(smp_tax_pay_pct,5)*SUM(AE218:AP218)</f>
        <v>0</v>
      </c>
      <c r="AJ233" s="69">
        <f>INDEX(smp_tax_pay_pct,6)*SUM(AE218:AP218)</f>
        <v>0</v>
      </c>
      <c r="AK233" s="69">
        <f>INDEX(smp_tax_pay_pct,7)*SUM(AE218:AP218)</f>
        <v>0</v>
      </c>
      <c r="AL233" s="69">
        <f>INDEX(smp_tax_pay_pct,8)*SUM(AE218:AP218)</f>
        <v>41969.729843750014</v>
      </c>
      <c r="AM233" s="69">
        <f>INDEX(smp_tax_pay_pct,9)*SUM(AE218:AP218)</f>
        <v>0</v>
      </c>
      <c r="AN233" s="69">
        <f>INDEX(smp_tax_pay_pct,10)*SUM(AE218:AP218)</f>
        <v>41969.729843750014</v>
      </c>
      <c r="AO233" s="69">
        <f>INDEX(smp_tax_pay_pct,11)*SUM(AE218:AP218)</f>
        <v>0</v>
      </c>
      <c r="AP233" s="69">
        <f>INDEX(smp_tax_pay_pct,12)*SUM(AE218:AP218)</f>
        <v>0</v>
      </c>
      <c r="AQ233" s="69">
        <f>INDEX(smp_tax_pay_pct,13)*SUM(AQ218:BB218)</f>
        <v>0</v>
      </c>
      <c r="AR233" s="69">
        <f>INDEX(smp_tax_pay_pct,14)*SUM(AQ218:BB218)</f>
        <v>0</v>
      </c>
      <c r="AS233" s="69">
        <f>INDEX(smp_tax_pay_pct,15)*SUM(AQ218:BB218)</f>
        <v>0</v>
      </c>
      <c r="AT233" s="69">
        <f>INDEX(smp_tax_pay_pct,16)*SUM(AQ218:BB218)</f>
        <v>82909.083593750009</v>
      </c>
      <c r="AU233" s="69">
        <f>INDEX(smp_tax_pay_pct,17)*SUM(AQ218:BB218)</f>
        <v>0</v>
      </c>
      <c r="AV233" s="69">
        <f>INDEX(smp_tax_pay_pct,18)*SUM(AQ218:BB218)</f>
        <v>0</v>
      </c>
      <c r="AW233" s="69">
        <f>INDEX(smp_tax_pay_pct,19)*SUM(AQ218:BB218)</f>
        <v>0</v>
      </c>
      <c r="AX233" s="69">
        <f>INDEX(smp_tax_pay_pct,20)*SUM(AQ218:BB218)</f>
        <v>82909.083593750009</v>
      </c>
      <c r="AY233" s="69">
        <f>INDEX(smp_tax_pay_pct,21)*SUM(AQ218:BB218)</f>
        <v>0</v>
      </c>
      <c r="AZ233" s="69">
        <f>INDEX(smp_tax_pay_pct,22)*SUM(AQ218:BB218)</f>
        <v>82909.083593750009</v>
      </c>
      <c r="BA233" s="69">
        <f>INDEX(smp_tax_pay_pct,23)*SUM(AQ218:BB218)</f>
        <v>0</v>
      </c>
      <c r="BB233" s="69">
        <f>INDEX(smp_tax_pay_pct,24)*SUM(AQ218:BB218)</f>
        <v>0</v>
      </c>
      <c r="BC233" s="70">
        <f>SUM(AE233:AP233)</f>
        <v>125909.18953125004</v>
      </c>
      <c r="BD233" s="70">
        <f>SUM(AQ233:BB233)</f>
        <v>248727.25078125001</v>
      </c>
      <c r="BE233" s="2"/>
      <c r="BF233" s="69">
        <f>INDEX(smp_tax_pay_pct,1)*SUM(BF218:BQ218)</f>
        <v>0</v>
      </c>
      <c r="BG233" s="69">
        <f>INDEX(smp_tax_pay_pct,2)*SUM(BF218:BQ218)</f>
        <v>0</v>
      </c>
      <c r="BH233" s="69">
        <f>INDEX(smp_tax_pay_pct,3)*SUM(BF218:BQ218)</f>
        <v>0</v>
      </c>
      <c r="BI233" s="69">
        <f>INDEX(smp_tax_pay_pct,4)*SUM(BF218:BQ218)</f>
        <v>6238.8453124999996</v>
      </c>
      <c r="BJ233" s="69">
        <f>INDEX(smp_tax_pay_pct,5)*SUM(BF218:BQ218)</f>
        <v>0</v>
      </c>
      <c r="BK233" s="69">
        <f>INDEX(smp_tax_pay_pct,6)*SUM(BF218:BQ218)</f>
        <v>0</v>
      </c>
      <c r="BL233" s="69">
        <f>INDEX(smp_tax_pay_pct,7)*SUM(BF218:BQ218)</f>
        <v>0</v>
      </c>
      <c r="BM233" s="69">
        <f>INDEX(smp_tax_pay_pct,8)*SUM(BF218:BQ218)</f>
        <v>6238.8453124999996</v>
      </c>
      <c r="BN233" s="69">
        <f>INDEX(smp_tax_pay_pct,9)*SUM(BF218:BQ218)</f>
        <v>0</v>
      </c>
      <c r="BO233" s="69">
        <f>INDEX(smp_tax_pay_pct,10)*SUM(BF218:BQ218)</f>
        <v>6238.8453124999996</v>
      </c>
      <c r="BP233" s="69">
        <f>INDEX(smp_tax_pay_pct,11)*SUM(BF218:BQ218)</f>
        <v>0</v>
      </c>
      <c r="BQ233" s="69">
        <f>INDEX(smp_tax_pay_pct,12)*SUM(BF218:BQ218)</f>
        <v>0</v>
      </c>
      <c r="BR233" s="69">
        <f>INDEX(smp_tax_pay_pct,13)*SUM(BR218:CC218)</f>
        <v>0</v>
      </c>
      <c r="BS233" s="69">
        <f>INDEX(smp_tax_pay_pct,14)*SUM(BR218:CC218)</f>
        <v>0</v>
      </c>
      <c r="BT233" s="69">
        <f>INDEX(smp_tax_pay_pct,15)*SUM(BR218:CC218)</f>
        <v>0</v>
      </c>
      <c r="BU233" s="69">
        <f>INDEX(smp_tax_pay_pct,16)*SUM(BR218:CC218)</f>
        <v>37013.310156249994</v>
      </c>
      <c r="BV233" s="69">
        <f>INDEX(smp_tax_pay_pct,17)*SUM(BR218:CC218)</f>
        <v>0</v>
      </c>
      <c r="BW233" s="69">
        <f>INDEX(smp_tax_pay_pct,18)*SUM(BR218:CC218)</f>
        <v>0</v>
      </c>
      <c r="BX233" s="69">
        <f>INDEX(smp_tax_pay_pct,19)*SUM(BR218:CC218)</f>
        <v>0</v>
      </c>
      <c r="BY233" s="69">
        <f>INDEX(smp_tax_pay_pct,20)*SUM(BR218:CC218)</f>
        <v>37013.310156249994</v>
      </c>
      <c r="BZ233" s="69">
        <f>INDEX(smp_tax_pay_pct,21)*SUM(BR218:CC218)</f>
        <v>0</v>
      </c>
      <c r="CA233" s="69">
        <f>INDEX(smp_tax_pay_pct,22)*SUM(BR218:CC218)</f>
        <v>37013.310156249994</v>
      </c>
      <c r="CB233" s="69">
        <f>INDEX(smp_tax_pay_pct,23)*SUM(BR218:CC218)</f>
        <v>0</v>
      </c>
      <c r="CC233" s="69">
        <f>INDEX(smp_tax_pay_pct,24)*SUM(BR218:CC218)</f>
        <v>0</v>
      </c>
      <c r="CD233" s="70">
        <f>SUM(BF233:BQ233)</f>
        <v>18716.535937499997</v>
      </c>
      <c r="CE233" s="70">
        <f>SUM(BR233:CC233)</f>
        <v>111039.93046874998</v>
      </c>
      <c r="CF233" s="2"/>
      <c r="CG233" s="69">
        <f>INDEX(smp_tax_pay_pct,1)*SUM(CG218:CR218)</f>
        <v>0</v>
      </c>
      <c r="CH233" s="69">
        <f>INDEX(smp_tax_pay_pct,2)*SUM(CG218:CR218)</f>
        <v>0</v>
      </c>
      <c r="CI233" s="69">
        <f>INDEX(smp_tax_pay_pct,3)*SUM(CG218:CR218)</f>
        <v>0</v>
      </c>
      <c r="CJ233" s="69">
        <f>INDEX(smp_tax_pay_pct,4)*SUM(CG218:CR218)</f>
        <v>65203.564843750013</v>
      </c>
      <c r="CK233" s="69">
        <f>INDEX(smp_tax_pay_pct,5)*SUM(CG218:CR218)</f>
        <v>0</v>
      </c>
      <c r="CL233" s="69">
        <f>INDEX(smp_tax_pay_pct,6)*SUM(CG218:CR218)</f>
        <v>0</v>
      </c>
      <c r="CM233" s="69">
        <f>INDEX(smp_tax_pay_pct,7)*SUM(CG218:CR218)</f>
        <v>0</v>
      </c>
      <c r="CN233" s="69">
        <f>INDEX(smp_tax_pay_pct,8)*SUM(CG218:CR218)</f>
        <v>65203.564843750013</v>
      </c>
      <c r="CO233" s="69">
        <f>INDEX(smp_tax_pay_pct,9)*SUM(CG218:CR218)</f>
        <v>0</v>
      </c>
      <c r="CP233" s="69">
        <f>INDEX(smp_tax_pay_pct,10)*SUM(CG218:CR218)</f>
        <v>65203.564843750013</v>
      </c>
      <c r="CQ233" s="69">
        <f>INDEX(smp_tax_pay_pct,11)*SUM(CG218:CR218)</f>
        <v>0</v>
      </c>
      <c r="CR233" s="69">
        <f>INDEX(smp_tax_pay_pct,12)*SUM(CG218:CR218)</f>
        <v>0</v>
      </c>
      <c r="CS233" s="69">
        <f>INDEX(smp_tax_pay_pct,13)*SUM(CS218:DD218)</f>
        <v>0</v>
      </c>
      <c r="CT233" s="69">
        <f>INDEX(smp_tax_pay_pct,14)*SUM(CS218:DD218)</f>
        <v>0</v>
      </c>
      <c r="CU233" s="69">
        <f>INDEX(smp_tax_pay_pct,15)*SUM(CS218:DD218)</f>
        <v>0</v>
      </c>
      <c r="CV233" s="69">
        <f>INDEX(smp_tax_pay_pct,16)*SUM(CS218:DD218)</f>
        <v>110745.37734374999</v>
      </c>
      <c r="CW233" s="69">
        <f>INDEX(smp_tax_pay_pct,17)*SUM(CS218:DD218)</f>
        <v>0</v>
      </c>
      <c r="CX233" s="69">
        <f>INDEX(smp_tax_pay_pct,18)*SUM(CS218:DD218)</f>
        <v>0</v>
      </c>
      <c r="CY233" s="69">
        <f>INDEX(smp_tax_pay_pct,19)*SUM(CS218:DD218)</f>
        <v>0</v>
      </c>
      <c r="CZ233" s="69">
        <f>INDEX(smp_tax_pay_pct,20)*SUM(CS218:DD218)</f>
        <v>110745.37734374999</v>
      </c>
      <c r="DA233" s="69">
        <f>INDEX(smp_tax_pay_pct,21)*SUM(CS218:DD218)</f>
        <v>0</v>
      </c>
      <c r="DB233" s="69">
        <f>INDEX(smp_tax_pay_pct,22)*SUM(CS218:DD218)</f>
        <v>110745.37734374999</v>
      </c>
      <c r="DC233" s="69">
        <f>INDEX(smp_tax_pay_pct,23)*SUM(CS218:DD218)</f>
        <v>0</v>
      </c>
      <c r="DD233" s="69">
        <f>INDEX(smp_tax_pay_pct,24)*SUM(CS218:DD218)</f>
        <v>0</v>
      </c>
      <c r="DE233" s="70">
        <f>SUM(CG233:CR233)</f>
        <v>195610.69453125005</v>
      </c>
      <c r="DF233" s="70">
        <f>SUM(CS233:DD233)</f>
        <v>332236.13203124999</v>
      </c>
      <c r="DG233"/>
      <c r="DH233"/>
    </row>
    <row r="234" spans="1:112" hidden="1" x14ac:dyDescent="0.2">
      <c r="A234" s="1"/>
      <c r="B234" s="35" t="s">
        <v>156</v>
      </c>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2"/>
      <c r="AE234" s="69">
        <f>smp_open_tax_pay</f>
        <v>28000</v>
      </c>
      <c r="AF234" s="69">
        <f t="shared" ref="AF234:BB234" si="185">AE235</f>
        <v>33485.416666666672</v>
      </c>
      <c r="AG234" s="69">
        <f t="shared" si="185"/>
        <v>41210.589687500011</v>
      </c>
      <c r="AH234" s="69">
        <f t="shared" si="185"/>
        <v>51495.519062500018</v>
      </c>
      <c r="AI234" s="69">
        <f t="shared" si="185"/>
        <v>22190.474947916679</v>
      </c>
      <c r="AJ234" s="69">
        <f t="shared" si="185"/>
        <v>37064.917031250021</v>
      </c>
      <c r="AK234" s="69">
        <f t="shared" si="185"/>
        <v>51409.115468750024</v>
      </c>
      <c r="AL234" s="69">
        <f t="shared" si="185"/>
        <v>65053.070260416695</v>
      </c>
      <c r="AM234" s="69">
        <f t="shared" si="185"/>
        <v>36874.551562500012</v>
      </c>
      <c r="AN234" s="69">
        <f t="shared" si="185"/>
        <v>53045.519062500018</v>
      </c>
      <c r="AO234" s="69">
        <f t="shared" si="185"/>
        <v>29466.51307291667</v>
      </c>
      <c r="AP234" s="69">
        <f t="shared" si="185"/>
        <v>49559.493281250005</v>
      </c>
      <c r="AQ234" s="69">
        <f t="shared" si="185"/>
        <v>69969.729843750014</v>
      </c>
      <c r="AR234" s="69">
        <f t="shared" si="185"/>
        <v>90459.722760416684</v>
      </c>
      <c r="AS234" s="69">
        <f t="shared" si="185"/>
        <v>112999.47203125001</v>
      </c>
      <c r="AT234" s="69">
        <f t="shared" si="185"/>
        <v>137588.97765625</v>
      </c>
      <c r="AU234" s="69">
        <f t="shared" si="185"/>
        <v>81649.156041666676</v>
      </c>
      <c r="AV234" s="69">
        <f t="shared" si="185"/>
        <v>110310.67437500002</v>
      </c>
      <c r="AW234" s="69">
        <f t="shared" si="185"/>
        <v>138959.44906250003</v>
      </c>
      <c r="AX234" s="69">
        <f t="shared" si="185"/>
        <v>166907.98010416669</v>
      </c>
      <c r="AY234" s="69">
        <f t="shared" si="185"/>
        <v>112264.68390625001</v>
      </c>
      <c r="AZ234" s="69">
        <f t="shared" si="185"/>
        <v>141920.22765625</v>
      </c>
      <c r="BA234" s="69">
        <f t="shared" si="185"/>
        <v>90056.444166666668</v>
      </c>
      <c r="BB234" s="69">
        <f t="shared" si="185"/>
        <v>121804.00062500002</v>
      </c>
      <c r="BC234" s="70">
        <f>AP234</f>
        <v>49559.493281250005</v>
      </c>
      <c r="BD234" s="70">
        <f>BB234</f>
        <v>121804.00062500002</v>
      </c>
      <c r="BE234" s="2"/>
      <c r="BF234" s="69">
        <f>smp_open_tax_pay</f>
        <v>28000</v>
      </c>
      <c r="BG234" s="69">
        <f t="shared" ref="BG234:CC234" si="186">BF235</f>
        <v>28000</v>
      </c>
      <c r="BH234" s="69">
        <f t="shared" si="186"/>
        <v>28000</v>
      </c>
      <c r="BI234" s="69">
        <f t="shared" si="186"/>
        <v>28000</v>
      </c>
      <c r="BJ234" s="69">
        <f t="shared" si="186"/>
        <v>21761.154687499999</v>
      </c>
      <c r="BK234" s="69">
        <f t="shared" si="186"/>
        <v>23536.611354166667</v>
      </c>
      <c r="BL234" s="69">
        <f t="shared" si="186"/>
        <v>24893.536875000005</v>
      </c>
      <c r="BM234" s="69">
        <f t="shared" si="186"/>
        <v>25690.831250000003</v>
      </c>
      <c r="BN234" s="69">
        <f t="shared" si="186"/>
        <v>20382.292916666665</v>
      </c>
      <c r="BO234" s="69">
        <f t="shared" si="186"/>
        <v>23268.118750000001</v>
      </c>
      <c r="BP234" s="69">
        <f t="shared" si="186"/>
        <v>21738.443125000005</v>
      </c>
      <c r="BQ234" s="69">
        <f t="shared" si="186"/>
        <v>27851.587916666667</v>
      </c>
      <c r="BR234" s="69">
        <f t="shared" si="186"/>
        <v>34238.845312500001</v>
      </c>
      <c r="BS234" s="69">
        <f t="shared" si="186"/>
        <v>40688.246562499997</v>
      </c>
      <c r="BT234" s="69">
        <f t="shared" si="186"/>
        <v>48819.891666666663</v>
      </c>
      <c r="BU234" s="69">
        <f t="shared" si="186"/>
        <v>58633.780624999992</v>
      </c>
      <c r="BV234" s="69">
        <f t="shared" si="186"/>
        <v>33389.878281249999</v>
      </c>
      <c r="BW234" s="69">
        <f t="shared" si="186"/>
        <v>46554.336197916666</v>
      </c>
      <c r="BX234" s="69">
        <f t="shared" si="186"/>
        <v>59719.631718749995</v>
      </c>
      <c r="BY234" s="69">
        <f t="shared" si="186"/>
        <v>72325.296093749988</v>
      </c>
      <c r="BZ234" s="69">
        <f t="shared" si="186"/>
        <v>48191.762916666659</v>
      </c>
      <c r="CA234" s="69">
        <f t="shared" si="186"/>
        <v>62207.233749999992</v>
      </c>
      <c r="CB234" s="69">
        <f t="shared" si="186"/>
        <v>40345.088281250006</v>
      </c>
      <c r="CC234" s="69">
        <f t="shared" si="186"/>
        <v>56071.478072916674</v>
      </c>
      <c r="CD234" s="70">
        <f>BQ234</f>
        <v>27851.587916666667</v>
      </c>
      <c r="CE234" s="70">
        <f>CC234</f>
        <v>56071.478072916674</v>
      </c>
      <c r="CF234" s="2"/>
      <c r="CG234" s="69">
        <f>smp_open_tax_pay</f>
        <v>28000</v>
      </c>
      <c r="CH234" s="69">
        <f t="shared" ref="CH234:DD234" si="187">CG235</f>
        <v>40270.508333333331</v>
      </c>
      <c r="CI234" s="69">
        <f t="shared" si="187"/>
        <v>55036.823020833333</v>
      </c>
      <c r="CJ234" s="69">
        <f t="shared" si="187"/>
        <v>72654.904062499991</v>
      </c>
      <c r="CK234" s="69">
        <f t="shared" si="187"/>
        <v>27721.646614583318</v>
      </c>
      <c r="CL234" s="69">
        <f t="shared" si="187"/>
        <v>50455.420364583333</v>
      </c>
      <c r="CM234" s="69">
        <f t="shared" si="187"/>
        <v>72588.940468750006</v>
      </c>
      <c r="CN234" s="69">
        <f t="shared" si="187"/>
        <v>93933.446927083336</v>
      </c>
      <c r="CO234" s="69">
        <f t="shared" si="187"/>
        <v>50231.979895833319</v>
      </c>
      <c r="CP234" s="69">
        <f t="shared" si="187"/>
        <v>74386.304062499999</v>
      </c>
      <c r="CQ234" s="69">
        <f t="shared" si="187"/>
        <v>35811.309739583325</v>
      </c>
      <c r="CR234" s="69">
        <f t="shared" si="187"/>
        <v>64334.261614583331</v>
      </c>
      <c r="CS234" s="69">
        <f t="shared" si="187"/>
        <v>93203.564843750006</v>
      </c>
      <c r="CT234" s="69">
        <f t="shared" si="187"/>
        <v>122163.19442708335</v>
      </c>
      <c r="CU234" s="69">
        <f t="shared" si="187"/>
        <v>153408.31036458333</v>
      </c>
      <c r="CV234" s="69">
        <f t="shared" si="187"/>
        <v>186938.91265625</v>
      </c>
      <c r="CW234" s="69">
        <f t="shared" si="187"/>
        <v>112376.36395833334</v>
      </c>
      <c r="CX234" s="69">
        <f t="shared" si="187"/>
        <v>150442.79395833335</v>
      </c>
      <c r="CY234" s="69">
        <f t="shared" si="187"/>
        <v>188488.83531250001</v>
      </c>
      <c r="CZ234" s="69">
        <f t="shared" si="187"/>
        <v>225745.86302083335</v>
      </c>
      <c r="DA234" s="69">
        <f t="shared" si="187"/>
        <v>152603.86473958334</v>
      </c>
      <c r="DB234" s="69">
        <f t="shared" si="187"/>
        <v>191759.25015625</v>
      </c>
      <c r="DC234" s="69">
        <f t="shared" si="187"/>
        <v>121721.26458333332</v>
      </c>
      <c r="DD234" s="69">
        <f t="shared" si="187"/>
        <v>163212.03770833332</v>
      </c>
      <c r="DE234" s="70">
        <f>CR234</f>
        <v>64334.261614583331</v>
      </c>
      <c r="DF234" s="70">
        <f>DD234</f>
        <v>163212.03770833332</v>
      </c>
      <c r="DG234"/>
      <c r="DH234"/>
    </row>
    <row r="235" spans="1:112" hidden="1" x14ac:dyDescent="0.2">
      <c r="A235" s="1"/>
      <c r="B235" s="35" t="s">
        <v>157</v>
      </c>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2"/>
      <c r="AE235" s="69">
        <f t="shared" ref="AE235:BB235" si="188">AE234+AE218-AE233</f>
        <v>33485.416666666672</v>
      </c>
      <c r="AF235" s="69">
        <f t="shared" si="188"/>
        <v>41210.589687500011</v>
      </c>
      <c r="AG235" s="69">
        <f t="shared" si="188"/>
        <v>51495.519062500018</v>
      </c>
      <c r="AH235" s="69">
        <f t="shared" si="188"/>
        <v>22190.474947916679</v>
      </c>
      <c r="AI235" s="69">
        <f t="shared" si="188"/>
        <v>37064.917031250021</v>
      </c>
      <c r="AJ235" s="69">
        <f t="shared" si="188"/>
        <v>51409.115468750024</v>
      </c>
      <c r="AK235" s="69">
        <f t="shared" si="188"/>
        <v>65053.070260416695</v>
      </c>
      <c r="AL235" s="69">
        <f t="shared" si="188"/>
        <v>36874.551562500012</v>
      </c>
      <c r="AM235" s="69">
        <f t="shared" si="188"/>
        <v>53045.519062500018</v>
      </c>
      <c r="AN235" s="69">
        <f t="shared" si="188"/>
        <v>29466.51307291667</v>
      </c>
      <c r="AO235" s="69">
        <f t="shared" si="188"/>
        <v>49559.493281250005</v>
      </c>
      <c r="AP235" s="69">
        <f t="shared" si="188"/>
        <v>69969.729843750014</v>
      </c>
      <c r="AQ235" s="69">
        <f t="shared" si="188"/>
        <v>90459.722760416684</v>
      </c>
      <c r="AR235" s="69">
        <f t="shared" si="188"/>
        <v>112999.47203125001</v>
      </c>
      <c r="AS235" s="69">
        <f t="shared" si="188"/>
        <v>137588.97765625</v>
      </c>
      <c r="AT235" s="69">
        <f t="shared" si="188"/>
        <v>81649.156041666676</v>
      </c>
      <c r="AU235" s="69">
        <f t="shared" si="188"/>
        <v>110310.67437500002</v>
      </c>
      <c r="AV235" s="69">
        <f t="shared" si="188"/>
        <v>138959.44906250003</v>
      </c>
      <c r="AW235" s="69">
        <f t="shared" si="188"/>
        <v>166907.98010416669</v>
      </c>
      <c r="AX235" s="69">
        <f t="shared" si="188"/>
        <v>112264.68390625001</v>
      </c>
      <c r="AY235" s="69">
        <f t="shared" si="188"/>
        <v>141920.22765625</v>
      </c>
      <c r="AZ235" s="69">
        <f t="shared" si="188"/>
        <v>90056.444166666668</v>
      </c>
      <c r="BA235" s="69">
        <f t="shared" si="188"/>
        <v>121804.00062500002</v>
      </c>
      <c r="BB235" s="69">
        <f t="shared" si="188"/>
        <v>152878.81343750001</v>
      </c>
      <c r="BC235" s="70">
        <f>AP235</f>
        <v>69969.729843750014</v>
      </c>
      <c r="BD235" s="70">
        <f>BB235</f>
        <v>152878.81343750001</v>
      </c>
      <c r="BE235" s="2"/>
      <c r="BF235" s="69">
        <f t="shared" ref="BF235:CC235" si="189">BF234+BF218-BF233</f>
        <v>28000</v>
      </c>
      <c r="BG235" s="69">
        <f t="shared" si="189"/>
        <v>28000</v>
      </c>
      <c r="BH235" s="69">
        <f t="shared" si="189"/>
        <v>28000</v>
      </c>
      <c r="BI235" s="69">
        <f t="shared" si="189"/>
        <v>21761.154687499999</v>
      </c>
      <c r="BJ235" s="69">
        <f t="shared" si="189"/>
        <v>23536.611354166667</v>
      </c>
      <c r="BK235" s="69">
        <f t="shared" si="189"/>
        <v>24893.536875000005</v>
      </c>
      <c r="BL235" s="69">
        <f t="shared" si="189"/>
        <v>25690.831250000003</v>
      </c>
      <c r="BM235" s="69">
        <f t="shared" si="189"/>
        <v>20382.292916666665</v>
      </c>
      <c r="BN235" s="69">
        <f t="shared" si="189"/>
        <v>23268.118750000001</v>
      </c>
      <c r="BO235" s="69">
        <f t="shared" si="189"/>
        <v>21738.443125000005</v>
      </c>
      <c r="BP235" s="69">
        <f t="shared" si="189"/>
        <v>27851.587916666667</v>
      </c>
      <c r="BQ235" s="69">
        <f t="shared" si="189"/>
        <v>34238.845312500001</v>
      </c>
      <c r="BR235" s="69">
        <f t="shared" si="189"/>
        <v>40688.246562499997</v>
      </c>
      <c r="BS235" s="69">
        <f t="shared" si="189"/>
        <v>48819.891666666663</v>
      </c>
      <c r="BT235" s="69">
        <f t="shared" si="189"/>
        <v>58633.780624999992</v>
      </c>
      <c r="BU235" s="69">
        <f t="shared" si="189"/>
        <v>33389.878281249999</v>
      </c>
      <c r="BV235" s="69">
        <f t="shared" si="189"/>
        <v>46554.336197916666</v>
      </c>
      <c r="BW235" s="69">
        <f t="shared" si="189"/>
        <v>59719.631718749995</v>
      </c>
      <c r="BX235" s="69">
        <f t="shared" si="189"/>
        <v>72325.296093749988</v>
      </c>
      <c r="BY235" s="69">
        <f t="shared" si="189"/>
        <v>48191.762916666659</v>
      </c>
      <c r="BZ235" s="69">
        <f t="shared" si="189"/>
        <v>62207.233749999992</v>
      </c>
      <c r="CA235" s="69">
        <f t="shared" si="189"/>
        <v>40345.088281250006</v>
      </c>
      <c r="CB235" s="69">
        <f t="shared" si="189"/>
        <v>56071.478072916674</v>
      </c>
      <c r="CC235" s="69">
        <f t="shared" si="189"/>
        <v>71252.155468750003</v>
      </c>
      <c r="CD235" s="70">
        <f>BQ235</f>
        <v>34238.845312500001</v>
      </c>
      <c r="CE235" s="70">
        <f>CC235</f>
        <v>71252.155468750003</v>
      </c>
      <c r="CF235" s="2"/>
      <c r="CG235" s="69">
        <f t="shared" ref="CG235:DD235" si="190">CG234+CG218-CG233</f>
        <v>40270.508333333331</v>
      </c>
      <c r="CH235" s="69">
        <f t="shared" si="190"/>
        <v>55036.823020833333</v>
      </c>
      <c r="CI235" s="69">
        <f t="shared" si="190"/>
        <v>72654.904062499991</v>
      </c>
      <c r="CJ235" s="69">
        <f t="shared" si="190"/>
        <v>27721.646614583318</v>
      </c>
      <c r="CK235" s="69">
        <f t="shared" si="190"/>
        <v>50455.420364583333</v>
      </c>
      <c r="CL235" s="69">
        <f t="shared" si="190"/>
        <v>72588.940468750006</v>
      </c>
      <c r="CM235" s="69">
        <f t="shared" si="190"/>
        <v>93933.446927083336</v>
      </c>
      <c r="CN235" s="69">
        <f t="shared" si="190"/>
        <v>50231.979895833319</v>
      </c>
      <c r="CO235" s="69">
        <f t="shared" si="190"/>
        <v>74386.304062499999</v>
      </c>
      <c r="CP235" s="69">
        <f t="shared" si="190"/>
        <v>35811.309739583325</v>
      </c>
      <c r="CQ235" s="69">
        <f t="shared" si="190"/>
        <v>64334.261614583331</v>
      </c>
      <c r="CR235" s="69">
        <f t="shared" si="190"/>
        <v>93203.564843750006</v>
      </c>
      <c r="CS235" s="69">
        <f t="shared" si="190"/>
        <v>122163.19442708335</v>
      </c>
      <c r="CT235" s="69">
        <f t="shared" si="190"/>
        <v>153408.31036458333</v>
      </c>
      <c r="CU235" s="69">
        <f t="shared" si="190"/>
        <v>186938.91265625</v>
      </c>
      <c r="CV235" s="69">
        <f t="shared" si="190"/>
        <v>112376.36395833334</v>
      </c>
      <c r="CW235" s="69">
        <f t="shared" si="190"/>
        <v>150442.79395833335</v>
      </c>
      <c r="CX235" s="69">
        <f t="shared" si="190"/>
        <v>188488.83531250001</v>
      </c>
      <c r="CY235" s="69">
        <f t="shared" si="190"/>
        <v>225745.86302083335</v>
      </c>
      <c r="CZ235" s="69">
        <f t="shared" si="190"/>
        <v>152603.86473958334</v>
      </c>
      <c r="DA235" s="69">
        <f t="shared" si="190"/>
        <v>191759.25015625</v>
      </c>
      <c r="DB235" s="69">
        <f t="shared" si="190"/>
        <v>121721.26458333332</v>
      </c>
      <c r="DC235" s="69">
        <f t="shared" si="190"/>
        <v>163212.03770833332</v>
      </c>
      <c r="DD235" s="69">
        <f t="shared" si="190"/>
        <v>203948.94218749998</v>
      </c>
      <c r="DE235" s="70">
        <f>CR235</f>
        <v>93203.564843750006</v>
      </c>
      <c r="DF235" s="70">
        <f>DD235</f>
        <v>203948.94218749998</v>
      </c>
      <c r="DG235"/>
      <c r="DH235"/>
    </row>
    <row r="236" spans="1:112" hidden="1" x14ac:dyDescent="0.2">
      <c r="A236" s="1"/>
      <c r="B236" s="35" t="s">
        <v>158</v>
      </c>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2"/>
      <c r="AE236" s="69">
        <f t="shared" ref="AE236:BB236" si="191">AE235-AE234</f>
        <v>5485.4166666666715</v>
      </c>
      <c r="AF236" s="69">
        <f t="shared" si="191"/>
        <v>7725.1730208333393</v>
      </c>
      <c r="AG236" s="69">
        <f t="shared" si="191"/>
        <v>10284.929375000007</v>
      </c>
      <c r="AH236" s="69">
        <f t="shared" si="191"/>
        <v>-29305.044114583339</v>
      </c>
      <c r="AI236" s="69">
        <f t="shared" si="191"/>
        <v>14874.442083333342</v>
      </c>
      <c r="AJ236" s="69">
        <f t="shared" si="191"/>
        <v>14344.198437500003</v>
      </c>
      <c r="AK236" s="69">
        <f t="shared" si="191"/>
        <v>13643.954791666671</v>
      </c>
      <c r="AL236" s="69">
        <f t="shared" si="191"/>
        <v>-28178.518697916683</v>
      </c>
      <c r="AM236" s="69">
        <f t="shared" si="191"/>
        <v>16170.967500000006</v>
      </c>
      <c r="AN236" s="69">
        <f t="shared" si="191"/>
        <v>-23579.005989583347</v>
      </c>
      <c r="AO236" s="69">
        <f t="shared" si="191"/>
        <v>20092.980208333334</v>
      </c>
      <c r="AP236" s="69">
        <f t="shared" si="191"/>
        <v>20410.236562500009</v>
      </c>
      <c r="AQ236" s="69">
        <f t="shared" si="191"/>
        <v>20489.99291666667</v>
      </c>
      <c r="AR236" s="69">
        <f t="shared" si="191"/>
        <v>22539.74927083333</v>
      </c>
      <c r="AS236" s="69">
        <f t="shared" si="191"/>
        <v>24589.505624999991</v>
      </c>
      <c r="AT236" s="69">
        <f t="shared" si="191"/>
        <v>-55939.821614583328</v>
      </c>
      <c r="AU236" s="69">
        <f t="shared" si="191"/>
        <v>28661.518333333341</v>
      </c>
      <c r="AV236" s="69">
        <f t="shared" si="191"/>
        <v>28648.774687500016</v>
      </c>
      <c r="AW236" s="69">
        <f t="shared" si="191"/>
        <v>27948.531041666662</v>
      </c>
      <c r="AX236" s="69">
        <f t="shared" si="191"/>
        <v>-54643.296197916687</v>
      </c>
      <c r="AY236" s="69">
        <f t="shared" si="191"/>
        <v>29655.543749999997</v>
      </c>
      <c r="AZ236" s="69">
        <f t="shared" si="191"/>
        <v>-51863.783489583337</v>
      </c>
      <c r="BA236" s="69">
        <f t="shared" si="191"/>
        <v>31747.556458333347</v>
      </c>
      <c r="BB236" s="69">
        <f t="shared" si="191"/>
        <v>31074.812812499993</v>
      </c>
      <c r="BC236" s="70">
        <f t="shared" ref="BC236:BC246" si="192">SUM(AE236:AP236)</f>
        <v>41969.729843750014</v>
      </c>
      <c r="BD236" s="70">
        <f t="shared" ref="BD236:BD246" si="193">SUM(AQ236:BB236)</f>
        <v>82909.083593749994</v>
      </c>
      <c r="BE236" s="2"/>
      <c r="BF236" s="69">
        <f t="shared" ref="BF236:CC236" si="194">BF235-BF234</f>
        <v>0</v>
      </c>
      <c r="BG236" s="69">
        <f t="shared" si="194"/>
        <v>0</v>
      </c>
      <c r="BH236" s="69">
        <f t="shared" si="194"/>
        <v>0</v>
      </c>
      <c r="BI236" s="69">
        <f t="shared" si="194"/>
        <v>-6238.8453125000015</v>
      </c>
      <c r="BJ236" s="69">
        <f t="shared" si="194"/>
        <v>1775.4566666666688</v>
      </c>
      <c r="BK236" s="69">
        <f t="shared" si="194"/>
        <v>1356.9255208333379</v>
      </c>
      <c r="BL236" s="69">
        <f t="shared" si="194"/>
        <v>797.29437499999767</v>
      </c>
      <c r="BM236" s="69">
        <f t="shared" si="194"/>
        <v>-5308.5383333333375</v>
      </c>
      <c r="BN236" s="69">
        <f t="shared" si="194"/>
        <v>2885.825833333336</v>
      </c>
      <c r="BO236" s="69">
        <f t="shared" si="194"/>
        <v>-1529.6756249999962</v>
      </c>
      <c r="BP236" s="69">
        <f t="shared" si="194"/>
        <v>6113.1447916666621</v>
      </c>
      <c r="BQ236" s="69">
        <f t="shared" si="194"/>
        <v>6387.2573958333342</v>
      </c>
      <c r="BR236" s="69">
        <f t="shared" si="194"/>
        <v>6449.4012499999953</v>
      </c>
      <c r="BS236" s="69">
        <f t="shared" si="194"/>
        <v>8131.645104166666</v>
      </c>
      <c r="BT236" s="69">
        <f t="shared" si="194"/>
        <v>9813.8889583333294</v>
      </c>
      <c r="BU236" s="69">
        <f t="shared" si="194"/>
        <v>-25243.902343749993</v>
      </c>
      <c r="BV236" s="69">
        <f t="shared" si="194"/>
        <v>13164.457916666666</v>
      </c>
      <c r="BW236" s="69">
        <f t="shared" si="194"/>
        <v>13165.29552083333</v>
      </c>
      <c r="BX236" s="69">
        <f t="shared" si="194"/>
        <v>12605.664374999993</v>
      </c>
      <c r="BY236" s="69">
        <f t="shared" si="194"/>
        <v>-24133.533177083329</v>
      </c>
      <c r="BZ236" s="69">
        <f t="shared" si="194"/>
        <v>14015.470833333333</v>
      </c>
      <c r="CA236" s="69">
        <f t="shared" si="194"/>
        <v>-21862.145468749986</v>
      </c>
      <c r="CB236" s="69">
        <f t="shared" si="194"/>
        <v>15726.389791666668</v>
      </c>
      <c r="CC236" s="69">
        <f t="shared" si="194"/>
        <v>15180.677395833329</v>
      </c>
      <c r="CD236" s="70">
        <f t="shared" ref="CD236:CD246" si="195">SUM(BF236:BQ236)</f>
        <v>6238.8453125000015</v>
      </c>
      <c r="CE236" s="70">
        <f t="shared" ref="CE236:CE246" si="196">SUM(BR236:CC236)</f>
        <v>37013.310156250001</v>
      </c>
      <c r="CF236" s="2"/>
      <c r="CG236" s="69">
        <f t="shared" ref="CG236:DD236" si="197">CG235-CG234</f>
        <v>12270.508333333331</v>
      </c>
      <c r="CH236" s="69">
        <f t="shared" si="197"/>
        <v>14766.314687500002</v>
      </c>
      <c r="CI236" s="69">
        <f t="shared" si="197"/>
        <v>17618.081041666657</v>
      </c>
      <c r="CJ236" s="69">
        <f t="shared" si="197"/>
        <v>-44933.257447916672</v>
      </c>
      <c r="CK236" s="69">
        <f t="shared" si="197"/>
        <v>22733.773750000015</v>
      </c>
      <c r="CL236" s="69">
        <f t="shared" si="197"/>
        <v>22133.520104166673</v>
      </c>
      <c r="CM236" s="69">
        <f t="shared" si="197"/>
        <v>21344.50645833333</v>
      </c>
      <c r="CN236" s="69">
        <f t="shared" si="197"/>
        <v>-43701.467031250017</v>
      </c>
      <c r="CO236" s="69">
        <f t="shared" si="197"/>
        <v>24154.32416666668</v>
      </c>
      <c r="CP236" s="69">
        <f t="shared" si="197"/>
        <v>-38574.994322916675</v>
      </c>
      <c r="CQ236" s="69">
        <f t="shared" si="197"/>
        <v>28522.951875000006</v>
      </c>
      <c r="CR236" s="69">
        <f t="shared" si="197"/>
        <v>28869.303229166675</v>
      </c>
      <c r="CS236" s="69">
        <f t="shared" si="197"/>
        <v>28959.629583333342</v>
      </c>
      <c r="CT236" s="69">
        <f t="shared" si="197"/>
        <v>31245.115937499984</v>
      </c>
      <c r="CU236" s="69">
        <f t="shared" si="197"/>
        <v>33530.60229166667</v>
      </c>
      <c r="CV236" s="69">
        <f t="shared" si="197"/>
        <v>-74562.54869791666</v>
      </c>
      <c r="CW236" s="69">
        <f t="shared" si="197"/>
        <v>38066.430000000008</v>
      </c>
      <c r="CX236" s="69">
        <f t="shared" si="197"/>
        <v>38046.041354166664</v>
      </c>
      <c r="CY236" s="69">
        <f t="shared" si="197"/>
        <v>37257.027708333335</v>
      </c>
      <c r="CZ236" s="69">
        <f t="shared" si="197"/>
        <v>-73141.998281250009</v>
      </c>
      <c r="DA236" s="69">
        <f t="shared" si="197"/>
        <v>39155.385416666657</v>
      </c>
      <c r="DB236" s="69">
        <f t="shared" si="197"/>
        <v>-70037.985572916674</v>
      </c>
      <c r="DC236" s="69">
        <f t="shared" si="197"/>
        <v>41490.773124999992</v>
      </c>
      <c r="DD236" s="69">
        <f t="shared" si="197"/>
        <v>40736.904479166667</v>
      </c>
      <c r="DE236" s="70">
        <f t="shared" ref="DE236:DE246" si="198">SUM(CG236:CR236)</f>
        <v>65203.564843750006</v>
      </c>
      <c r="DF236" s="70">
        <f t="shared" ref="DF236:DF246" si="199">SUM(CS236:DD236)</f>
        <v>110745.37734374998</v>
      </c>
      <c r="DG236"/>
      <c r="DH236"/>
    </row>
    <row r="237" spans="1:112" hidden="1" x14ac:dyDescent="0.2">
      <c r="A237" s="1"/>
      <c r="B237" s="35" t="s">
        <v>159</v>
      </c>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2"/>
      <c r="AE237" s="69">
        <f t="shared" ref="AE237:BB237" si="200">-AE223+AE226-AE229+AE232+AE236</f>
        <v>-24874.583333333328</v>
      </c>
      <c r="AF237" s="69">
        <f t="shared" si="200"/>
        <v>-13268.160312500004</v>
      </c>
      <c r="AG237" s="69">
        <f t="shared" si="200"/>
        <v>-13607.070624999935</v>
      </c>
      <c r="AH237" s="69">
        <f t="shared" si="200"/>
        <v>-51662.377447916711</v>
      </c>
      <c r="AI237" s="69">
        <f t="shared" si="200"/>
        <v>-5990.8912500000006</v>
      </c>
      <c r="AJ237" s="69">
        <f t="shared" si="200"/>
        <v>20502.865104166631</v>
      </c>
      <c r="AK237" s="69">
        <f t="shared" si="200"/>
        <v>21294.621458333328</v>
      </c>
      <c r="AL237" s="69">
        <f t="shared" si="200"/>
        <v>-28743.852031249997</v>
      </c>
      <c r="AM237" s="69">
        <f t="shared" si="200"/>
        <v>-6186.3658333332496</v>
      </c>
      <c r="AN237" s="69">
        <f t="shared" si="200"/>
        <v>-44487.005989583347</v>
      </c>
      <c r="AO237" s="69">
        <f t="shared" si="200"/>
        <v>4459.646874999904</v>
      </c>
      <c r="AP237" s="69">
        <f t="shared" si="200"/>
        <v>18352.903229166754</v>
      </c>
      <c r="AQ237" s="69">
        <f t="shared" si="200"/>
        <v>19445.992916666641</v>
      </c>
      <c r="AR237" s="69">
        <f t="shared" si="200"/>
        <v>3123.7492708333593</v>
      </c>
      <c r="AS237" s="69">
        <f t="shared" si="200"/>
        <v>5173.5056249999325</v>
      </c>
      <c r="AT237" s="69">
        <f t="shared" si="200"/>
        <v>-78297.154947916613</v>
      </c>
      <c r="AU237" s="69">
        <f t="shared" si="200"/>
        <v>13070.851666666596</v>
      </c>
      <c r="AV237" s="69">
        <f t="shared" si="200"/>
        <v>29532.774687500074</v>
      </c>
      <c r="AW237" s="69">
        <f t="shared" si="200"/>
        <v>35599.197708333348</v>
      </c>
      <c r="AX237" s="69">
        <f t="shared" si="200"/>
        <v>-56700.629531250059</v>
      </c>
      <c r="AY237" s="69">
        <f t="shared" si="200"/>
        <v>16122.210416666741</v>
      </c>
      <c r="AZ237" s="69">
        <f t="shared" si="200"/>
        <v>-65397.116822916709</v>
      </c>
      <c r="BA237" s="69">
        <f t="shared" si="200"/>
        <v>24980.889791666719</v>
      </c>
      <c r="BB237" s="69">
        <f t="shared" si="200"/>
        <v>37841.479479166621</v>
      </c>
      <c r="BC237" s="70">
        <f t="shared" si="192"/>
        <v>-124210.27015624999</v>
      </c>
      <c r="BD237" s="70">
        <f t="shared" si="193"/>
        <v>-15504.249739583349</v>
      </c>
      <c r="BE237" s="2"/>
      <c r="BF237" s="69">
        <f t="shared" ref="BF237:CC237" si="201">-BF223+BF226-BF229+BF232+BF236</f>
        <v>-41896.674999999988</v>
      </c>
      <c r="BG237" s="69">
        <f t="shared" si="201"/>
        <v>-22128.050000000017</v>
      </c>
      <c r="BH237" s="69">
        <f t="shared" si="201"/>
        <v>-25195.076666666631</v>
      </c>
      <c r="BI237" s="69">
        <f t="shared" si="201"/>
        <v>-29800.448645833392</v>
      </c>
      <c r="BJ237" s="69">
        <f t="shared" si="201"/>
        <v>-20202.653333333317</v>
      </c>
      <c r="BK237" s="69">
        <f t="shared" si="201"/>
        <v>7750.0021874999402</v>
      </c>
      <c r="BL237" s="69">
        <f t="shared" si="201"/>
        <v>8773.8643750000629</v>
      </c>
      <c r="BM237" s="69">
        <f t="shared" si="201"/>
        <v>-5970.7733333333235</v>
      </c>
      <c r="BN237" s="69">
        <f t="shared" si="201"/>
        <v>-20675.777499999938</v>
      </c>
      <c r="BO237" s="69">
        <f t="shared" si="201"/>
        <v>-23557.765625000022</v>
      </c>
      <c r="BP237" s="69">
        <f t="shared" si="201"/>
        <v>-10393.146875000024</v>
      </c>
      <c r="BQ237" s="69">
        <f t="shared" si="201"/>
        <v>4141.5290625000016</v>
      </c>
      <c r="BR237" s="69">
        <f t="shared" si="201"/>
        <v>5390.6979166666861</v>
      </c>
      <c r="BS237" s="69">
        <f t="shared" si="201"/>
        <v>-12312.951562500013</v>
      </c>
      <c r="BT237" s="69">
        <f t="shared" si="201"/>
        <v>-10630.70770833335</v>
      </c>
      <c r="BU237" s="69">
        <f t="shared" si="201"/>
        <v>-48805.505677083325</v>
      </c>
      <c r="BV237" s="69">
        <f t="shared" si="201"/>
        <v>-3291.8537500000384</v>
      </c>
      <c r="BW237" s="69">
        <f t="shared" si="201"/>
        <v>14036.573854166709</v>
      </c>
      <c r="BX237" s="69">
        <f t="shared" si="201"/>
        <v>20582.234375</v>
      </c>
      <c r="BY237" s="69">
        <f t="shared" si="201"/>
        <v>-26379.26151041672</v>
      </c>
      <c r="BZ237" s="69">
        <f t="shared" si="201"/>
        <v>-195.11249999992287</v>
      </c>
      <c r="CA237" s="69">
        <f t="shared" si="201"/>
        <v>-36072.728802083358</v>
      </c>
      <c r="CB237" s="69">
        <f t="shared" si="201"/>
        <v>8621.098124999924</v>
      </c>
      <c r="CC237" s="69">
        <f t="shared" si="201"/>
        <v>22285.969062500073</v>
      </c>
      <c r="CD237" s="70">
        <f t="shared" si="195"/>
        <v>-179154.97135416666</v>
      </c>
      <c r="CE237" s="70">
        <f t="shared" si="196"/>
        <v>-66771.548177083343</v>
      </c>
      <c r="CF237" s="2"/>
      <c r="CG237" s="69">
        <f t="shared" ref="CG237:DD237" si="202">-CG223+CG226-CG229+CG232+CG236</f>
        <v>-6551.3216666666558</v>
      </c>
      <c r="CH237" s="69">
        <f t="shared" si="202"/>
        <v>-5440.4653124999968</v>
      </c>
      <c r="CI237" s="69">
        <f t="shared" si="202"/>
        <v>-5373.4882916666902</v>
      </c>
      <c r="CJ237" s="69">
        <f t="shared" si="202"/>
        <v>-66454.816114583431</v>
      </c>
      <c r="CK237" s="69">
        <f t="shared" si="202"/>
        <v>2643.4177500000151</v>
      </c>
      <c r="CL237" s="69">
        <f t="shared" si="202"/>
        <v>28105.889437500038</v>
      </c>
      <c r="CM237" s="69">
        <f t="shared" si="202"/>
        <v>28748.078458333432</v>
      </c>
      <c r="CN237" s="69">
        <f t="shared" si="202"/>
        <v>-44215.673031249993</v>
      </c>
      <c r="CO237" s="69">
        <f t="shared" si="202"/>
        <v>2632.7654999998267</v>
      </c>
      <c r="CP237" s="69">
        <f t="shared" si="202"/>
        <v>-58704.158322916694</v>
      </c>
      <c r="CQ237" s="69">
        <f t="shared" si="202"/>
        <v>13487.968541666756</v>
      </c>
      <c r="CR237" s="69">
        <f t="shared" si="202"/>
        <v>26923.894562499932</v>
      </c>
      <c r="CS237" s="69">
        <f t="shared" si="202"/>
        <v>27935.910916666719</v>
      </c>
      <c r="CT237" s="69">
        <f t="shared" si="202"/>
        <v>12547.154604166732</v>
      </c>
      <c r="CU237" s="69">
        <f t="shared" si="202"/>
        <v>14832.640958333417</v>
      </c>
      <c r="CV237" s="69">
        <f t="shared" si="202"/>
        <v>-96084.107364583397</v>
      </c>
      <c r="CW237" s="69">
        <f t="shared" si="202"/>
        <v>23070.254666666748</v>
      </c>
      <c r="CX237" s="69">
        <f t="shared" si="202"/>
        <v>38924.230020833289</v>
      </c>
      <c r="CY237" s="69">
        <f t="shared" si="202"/>
        <v>44660.59970833335</v>
      </c>
      <c r="CZ237" s="69">
        <f t="shared" si="202"/>
        <v>-75087.406947916636</v>
      </c>
      <c r="DA237" s="69">
        <f t="shared" si="202"/>
        <v>26104.618749999907</v>
      </c>
      <c r="DB237" s="69">
        <f t="shared" si="202"/>
        <v>-83088.752239583278</v>
      </c>
      <c r="DC237" s="69">
        <f t="shared" si="202"/>
        <v>34965.389791666603</v>
      </c>
      <c r="DD237" s="69">
        <f t="shared" si="202"/>
        <v>47262.287812500057</v>
      </c>
      <c r="DE237" s="70">
        <f t="shared" si="198"/>
        <v>-84197.908489583453</v>
      </c>
      <c r="DF237" s="70">
        <f t="shared" si="199"/>
        <v>16042.82067708351</v>
      </c>
      <c r="DG237"/>
      <c r="DH237"/>
    </row>
    <row r="238" spans="1:112" hidden="1" x14ac:dyDescent="0.2">
      <c r="A238" s="1"/>
      <c r="B238" s="35" t="s">
        <v>160</v>
      </c>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2"/>
      <c r="AE238" s="70">
        <f t="shared" ref="AE238:BB238" si="203">AE219+AE213+AE237</f>
        <v>-5418.3333333333139</v>
      </c>
      <c r="AF238" s="70">
        <f t="shared" si="203"/>
        <v>12907.35875000001</v>
      </c>
      <c r="AG238" s="70">
        <f t="shared" si="203"/>
        <v>20247.717500000079</v>
      </c>
      <c r="AH238" s="70">
        <f t="shared" si="203"/>
        <v>-10668.320260416695</v>
      </c>
      <c r="AI238" s="70">
        <f t="shared" si="203"/>
        <v>41632.435000000012</v>
      </c>
      <c r="AJ238" s="70">
        <f t="shared" si="203"/>
        <v>66535.46041666664</v>
      </c>
      <c r="AK238" s="70">
        <f t="shared" si="203"/>
        <v>65226.48583333334</v>
      </c>
      <c r="AL238" s="70">
        <f t="shared" si="203"/>
        <v>15629.781406250018</v>
      </c>
      <c r="AM238" s="70">
        <f t="shared" si="203"/>
        <v>45326.536666666761</v>
      </c>
      <c r="AN238" s="70">
        <f t="shared" si="203"/>
        <v>13685.16557291666</v>
      </c>
      <c r="AO238" s="70">
        <f t="shared" si="203"/>
        <v>67738.587499999921</v>
      </c>
      <c r="AP238" s="70">
        <f t="shared" si="203"/>
        <v>82583.612916666767</v>
      </c>
      <c r="AQ238" s="70">
        <f t="shared" si="203"/>
        <v>83915.97166666665</v>
      </c>
      <c r="AR238" s="70">
        <f t="shared" si="203"/>
        <v>73742.997083333379</v>
      </c>
      <c r="AS238" s="70">
        <f t="shared" si="203"/>
        <v>81942.022499999948</v>
      </c>
      <c r="AT238" s="70">
        <f t="shared" si="203"/>
        <v>5610.6309895833983</v>
      </c>
      <c r="AU238" s="70">
        <f t="shared" si="203"/>
        <v>102055.4066666666</v>
      </c>
      <c r="AV238" s="70">
        <f t="shared" si="203"/>
        <v>118479.09875000009</v>
      </c>
      <c r="AW238" s="70">
        <f t="shared" si="203"/>
        <v>122444.79083333336</v>
      </c>
      <c r="AX238" s="70">
        <f t="shared" si="203"/>
        <v>31096.732656249951</v>
      </c>
      <c r="AY238" s="70">
        <f t="shared" si="203"/>
        <v>108088.84166666675</v>
      </c>
      <c r="AZ238" s="70">
        <f t="shared" si="203"/>
        <v>30738.783489583308</v>
      </c>
      <c r="BA238" s="70">
        <f t="shared" si="203"/>
        <v>123223.55916666675</v>
      </c>
      <c r="BB238" s="70">
        <f t="shared" si="203"/>
        <v>134065.91791666663</v>
      </c>
      <c r="BC238" s="70">
        <f t="shared" si="192"/>
        <v>415426.48796875024</v>
      </c>
      <c r="BD238" s="70">
        <f t="shared" si="193"/>
        <v>1015404.7533854167</v>
      </c>
      <c r="BE238" s="2"/>
      <c r="BF238" s="70">
        <f t="shared" ref="BF238:CC238" si="204">BF219+BF213+BF237</f>
        <v>-62661.549999999988</v>
      </c>
      <c r="BG238" s="70">
        <f t="shared" si="204"/>
        <v>-35528.149583333347</v>
      </c>
      <c r="BH238" s="70">
        <f t="shared" si="204"/>
        <v>-30173.000833333303</v>
      </c>
      <c r="BI238" s="70">
        <f t="shared" si="204"/>
        <v>-26956.297395833382</v>
      </c>
      <c r="BJ238" s="70">
        <f t="shared" si="204"/>
        <v>-11876.283333333313</v>
      </c>
      <c r="BK238" s="70">
        <f t="shared" si="204"/>
        <v>14820.778749999949</v>
      </c>
      <c r="BL238" s="70">
        <f t="shared" si="204"/>
        <v>14165.74750000006</v>
      </c>
      <c r="BM238" s="70">
        <f t="shared" si="204"/>
        <v>-179.85239583333259</v>
      </c>
      <c r="BN238" s="70">
        <f t="shared" si="204"/>
        <v>-9018.2999999999338</v>
      </c>
      <c r="BO238" s="70">
        <f t="shared" si="204"/>
        <v>-6430.2565625000134</v>
      </c>
      <c r="BP238" s="70">
        <f t="shared" si="204"/>
        <v>10946.287499999962</v>
      </c>
      <c r="BQ238" s="70">
        <f t="shared" si="204"/>
        <v>26303.30125</v>
      </c>
      <c r="BR238" s="70">
        <f t="shared" si="204"/>
        <v>27738.901666666679</v>
      </c>
      <c r="BS238" s="70">
        <f t="shared" si="204"/>
        <v>15081.983749999989</v>
      </c>
      <c r="BT238" s="70">
        <f t="shared" si="204"/>
        <v>21810.959166666638</v>
      </c>
      <c r="BU238" s="70">
        <f t="shared" si="204"/>
        <v>-10497.282239583328</v>
      </c>
      <c r="BV238" s="70">
        <f t="shared" si="204"/>
        <v>39201.519999999953</v>
      </c>
      <c r="BW238" s="70">
        <f t="shared" si="204"/>
        <v>56532.460416666712</v>
      </c>
      <c r="BX238" s="70">
        <f t="shared" si="204"/>
        <v>61399.227499999986</v>
      </c>
      <c r="BY238" s="70">
        <f t="shared" si="204"/>
        <v>15260.069427083283</v>
      </c>
      <c r="BZ238" s="70">
        <f t="shared" si="204"/>
        <v>44851.300000000076</v>
      </c>
      <c r="CA238" s="70">
        <f t="shared" si="204"/>
        <v>12380.765260416643</v>
      </c>
      <c r="CB238" s="70">
        <f t="shared" si="204"/>
        <v>58800.267499999922</v>
      </c>
      <c r="CC238" s="70">
        <f t="shared" si="204"/>
        <v>70828.001250000059</v>
      </c>
      <c r="CD238" s="70">
        <f t="shared" si="195"/>
        <v>-116587.57510416665</v>
      </c>
      <c r="CE238" s="70">
        <f t="shared" si="196"/>
        <v>413388.17369791656</v>
      </c>
      <c r="CF238" s="2"/>
      <c r="CG238" s="70">
        <f t="shared" ref="CG238:DD238" si="205">CG219+CG213+CG237</f>
        <v>33260.203333333338</v>
      </c>
      <c r="CH238" s="70">
        <f t="shared" si="205"/>
        <v>41858.478750000002</v>
      </c>
      <c r="CI238" s="70">
        <f t="shared" si="205"/>
        <v>50480.754833333289</v>
      </c>
      <c r="CJ238" s="70">
        <f t="shared" si="205"/>
        <v>-2643.8939270833944</v>
      </c>
      <c r="CK238" s="70">
        <f t="shared" si="205"/>
        <v>73844.73900000006</v>
      </c>
      <c r="CL238" s="70">
        <f t="shared" si="205"/>
        <v>97506.449750000073</v>
      </c>
      <c r="CM238" s="70">
        <f t="shared" si="205"/>
        <v>95781.597833333435</v>
      </c>
      <c r="CN238" s="70">
        <f t="shared" si="205"/>
        <v>23290.620406249996</v>
      </c>
      <c r="CO238" s="70">
        <f t="shared" si="205"/>
        <v>78095.737999999867</v>
      </c>
      <c r="CP238" s="70">
        <f t="shared" si="205"/>
        <v>24181.553239583336</v>
      </c>
      <c r="CQ238" s="70">
        <f t="shared" si="205"/>
        <v>102056.82416666677</v>
      </c>
      <c r="CR238" s="70">
        <f t="shared" si="205"/>
        <v>116531.80424999997</v>
      </c>
      <c r="CS238" s="70">
        <f t="shared" si="205"/>
        <v>117814.79966666675</v>
      </c>
      <c r="CT238" s="70">
        <f t="shared" si="205"/>
        <v>109282.50241666673</v>
      </c>
      <c r="CU238" s="70">
        <f t="shared" si="205"/>
        <v>118424.4478333334</v>
      </c>
      <c r="CV238" s="70">
        <f t="shared" si="205"/>
        <v>15464.378572916597</v>
      </c>
      <c r="CW238" s="70">
        <f t="shared" si="205"/>
        <v>140269.54466666677</v>
      </c>
      <c r="CX238" s="70">
        <f t="shared" si="205"/>
        <v>156062.35408333328</v>
      </c>
      <c r="CY238" s="70">
        <f t="shared" si="205"/>
        <v>159431.68283333333</v>
      </c>
      <c r="CZ238" s="70">
        <f t="shared" si="205"/>
        <v>40722.730239583325</v>
      </c>
      <c r="DA238" s="70">
        <f t="shared" si="205"/>
        <v>146570.77499999988</v>
      </c>
      <c r="DB238" s="70">
        <f t="shared" si="205"/>
        <v>42033.423072916703</v>
      </c>
      <c r="DC238" s="70">
        <f t="shared" si="205"/>
        <v>162437.70916666658</v>
      </c>
      <c r="DD238" s="70">
        <f t="shared" si="205"/>
        <v>172473.00125000003</v>
      </c>
      <c r="DE238" s="70">
        <f t="shared" si="198"/>
        <v>734244.86963541666</v>
      </c>
      <c r="DF238" s="70">
        <f t="shared" si="199"/>
        <v>1380987.3488020834</v>
      </c>
      <c r="DG238"/>
      <c r="DH238"/>
    </row>
    <row r="239" spans="1:112" hidden="1" x14ac:dyDescent="0.2">
      <c r="A239" s="1"/>
      <c r="B239" s="35" t="s">
        <v>161</v>
      </c>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2"/>
      <c r="AE239" s="69">
        <f>INDEX(smp_capex,1)</f>
        <v>0</v>
      </c>
      <c r="AF239" s="69">
        <f>INDEX(smp_capex,2)</f>
        <v>0</v>
      </c>
      <c r="AG239" s="69">
        <f>INDEX(smp_capex,3)</f>
        <v>35000</v>
      </c>
      <c r="AH239" s="69">
        <f>INDEX(smp_capex,4)</f>
        <v>0</v>
      </c>
      <c r="AI239" s="69">
        <f>INDEX(smp_capex,5)</f>
        <v>0</v>
      </c>
      <c r="AJ239" s="69">
        <f>INDEX(smp_capex,6)</f>
        <v>0</v>
      </c>
      <c r="AK239" s="69">
        <f>INDEX(smp_capex,7)</f>
        <v>0</v>
      </c>
      <c r="AL239" s="69">
        <f>INDEX(smp_capex,8)</f>
        <v>0</v>
      </c>
      <c r="AM239" s="69">
        <f>INDEX(smp_capex,9)</f>
        <v>0</v>
      </c>
      <c r="AN239" s="69">
        <f>INDEX(smp_capex,10)</f>
        <v>0</v>
      </c>
      <c r="AO239" s="69">
        <f>INDEX(smp_capex,11)</f>
        <v>20000</v>
      </c>
      <c r="AP239" s="69">
        <f>INDEX(smp_capex,12)</f>
        <v>0</v>
      </c>
      <c r="AQ239" s="69">
        <f>INDEX(smp_capex,13)</f>
        <v>0</v>
      </c>
      <c r="AR239" s="69">
        <f>INDEX(smp_capex,14)</f>
        <v>0</v>
      </c>
      <c r="AS239" s="69">
        <f>INDEX(smp_capex,15)</f>
        <v>0</v>
      </c>
      <c r="AT239" s="69">
        <f>INDEX(smp_capex,16)</f>
        <v>25000</v>
      </c>
      <c r="AU239" s="69">
        <f>INDEX(smp_capex,17)</f>
        <v>0</v>
      </c>
      <c r="AV239" s="69">
        <f>INDEX(smp_capex,18)</f>
        <v>0</v>
      </c>
      <c r="AW239" s="69">
        <f>INDEX(smp_capex,19)</f>
        <v>0</v>
      </c>
      <c r="AX239" s="69">
        <f>INDEX(smp_capex,20)</f>
        <v>0</v>
      </c>
      <c r="AY239" s="69">
        <f>INDEX(smp_capex,21)</f>
        <v>0</v>
      </c>
      <c r="AZ239" s="69">
        <f>INDEX(smp_capex,22)</f>
        <v>0</v>
      </c>
      <c r="BA239" s="69">
        <f>INDEX(smp_capex,23)</f>
        <v>0</v>
      </c>
      <c r="BB239" s="69">
        <f>INDEX(smp_capex,24)</f>
        <v>0</v>
      </c>
      <c r="BC239" s="70">
        <f t="shared" si="192"/>
        <v>55000</v>
      </c>
      <c r="BD239" s="70">
        <f t="shared" si="193"/>
        <v>25000</v>
      </c>
      <c r="BE239" s="2"/>
      <c r="BF239" s="69">
        <f>INDEX(smp_capex,1)</f>
        <v>0</v>
      </c>
      <c r="BG239" s="69">
        <f>INDEX(smp_capex,2)</f>
        <v>0</v>
      </c>
      <c r="BH239" s="69">
        <f>INDEX(smp_capex,3)</f>
        <v>35000</v>
      </c>
      <c r="BI239" s="69">
        <f>INDEX(smp_capex,4)</f>
        <v>0</v>
      </c>
      <c r="BJ239" s="69">
        <f>INDEX(smp_capex,5)</f>
        <v>0</v>
      </c>
      <c r="BK239" s="69">
        <f>INDEX(smp_capex,6)</f>
        <v>0</v>
      </c>
      <c r="BL239" s="69">
        <f>INDEX(smp_capex,7)</f>
        <v>0</v>
      </c>
      <c r="BM239" s="69">
        <f>INDEX(smp_capex,8)</f>
        <v>0</v>
      </c>
      <c r="BN239" s="69">
        <f>INDEX(smp_capex,9)</f>
        <v>0</v>
      </c>
      <c r="BO239" s="69">
        <f>INDEX(smp_capex,10)</f>
        <v>0</v>
      </c>
      <c r="BP239" s="69">
        <f>INDEX(smp_capex,11)</f>
        <v>20000</v>
      </c>
      <c r="BQ239" s="69">
        <f>INDEX(smp_capex,12)</f>
        <v>0</v>
      </c>
      <c r="BR239" s="69">
        <f>INDEX(smp_capex,13)</f>
        <v>0</v>
      </c>
      <c r="BS239" s="69">
        <f>INDEX(smp_capex,14)</f>
        <v>0</v>
      </c>
      <c r="BT239" s="69">
        <f>INDEX(smp_capex,15)</f>
        <v>0</v>
      </c>
      <c r="BU239" s="69">
        <f>INDEX(smp_capex,16)</f>
        <v>25000</v>
      </c>
      <c r="BV239" s="69">
        <f>INDEX(smp_capex,17)</f>
        <v>0</v>
      </c>
      <c r="BW239" s="69">
        <f>INDEX(smp_capex,18)</f>
        <v>0</v>
      </c>
      <c r="BX239" s="69">
        <f>INDEX(smp_capex,19)</f>
        <v>0</v>
      </c>
      <c r="BY239" s="69">
        <f>INDEX(smp_capex,20)</f>
        <v>0</v>
      </c>
      <c r="BZ239" s="69">
        <f>INDEX(smp_capex,21)</f>
        <v>0</v>
      </c>
      <c r="CA239" s="69">
        <f>INDEX(smp_capex,22)</f>
        <v>0</v>
      </c>
      <c r="CB239" s="69">
        <f>INDEX(smp_capex,23)</f>
        <v>0</v>
      </c>
      <c r="CC239" s="69">
        <f>INDEX(smp_capex,24)</f>
        <v>0</v>
      </c>
      <c r="CD239" s="70">
        <f t="shared" si="195"/>
        <v>55000</v>
      </c>
      <c r="CE239" s="70">
        <f t="shared" si="196"/>
        <v>25000</v>
      </c>
      <c r="CF239" s="2"/>
      <c r="CG239" s="69">
        <f>INDEX(smp_capex,1)</f>
        <v>0</v>
      </c>
      <c r="CH239" s="69">
        <f>INDEX(smp_capex,2)</f>
        <v>0</v>
      </c>
      <c r="CI239" s="69">
        <f>INDEX(smp_capex,3)</f>
        <v>35000</v>
      </c>
      <c r="CJ239" s="69">
        <f>INDEX(smp_capex,4)</f>
        <v>0</v>
      </c>
      <c r="CK239" s="69">
        <f>INDEX(smp_capex,5)</f>
        <v>0</v>
      </c>
      <c r="CL239" s="69">
        <f>INDEX(smp_capex,6)</f>
        <v>0</v>
      </c>
      <c r="CM239" s="69">
        <f>INDEX(smp_capex,7)</f>
        <v>0</v>
      </c>
      <c r="CN239" s="69">
        <f>INDEX(smp_capex,8)</f>
        <v>0</v>
      </c>
      <c r="CO239" s="69">
        <f>INDEX(smp_capex,9)</f>
        <v>0</v>
      </c>
      <c r="CP239" s="69">
        <f>INDEX(smp_capex,10)</f>
        <v>0</v>
      </c>
      <c r="CQ239" s="69">
        <f>INDEX(smp_capex,11)</f>
        <v>20000</v>
      </c>
      <c r="CR239" s="69">
        <f>INDEX(smp_capex,12)</f>
        <v>0</v>
      </c>
      <c r="CS239" s="69">
        <f>INDEX(smp_capex,13)</f>
        <v>0</v>
      </c>
      <c r="CT239" s="69">
        <f>INDEX(smp_capex,14)</f>
        <v>0</v>
      </c>
      <c r="CU239" s="69">
        <f>INDEX(smp_capex,15)</f>
        <v>0</v>
      </c>
      <c r="CV239" s="69">
        <f>INDEX(smp_capex,16)</f>
        <v>25000</v>
      </c>
      <c r="CW239" s="69">
        <f>INDEX(smp_capex,17)</f>
        <v>0</v>
      </c>
      <c r="CX239" s="69">
        <f>INDEX(smp_capex,18)</f>
        <v>0</v>
      </c>
      <c r="CY239" s="69">
        <f>INDEX(smp_capex,19)</f>
        <v>0</v>
      </c>
      <c r="CZ239" s="69">
        <f>INDEX(smp_capex,20)</f>
        <v>0</v>
      </c>
      <c r="DA239" s="69">
        <f>INDEX(smp_capex,21)</f>
        <v>0</v>
      </c>
      <c r="DB239" s="69">
        <f>INDEX(smp_capex,22)</f>
        <v>0</v>
      </c>
      <c r="DC239" s="69">
        <f>INDEX(smp_capex,23)</f>
        <v>0</v>
      </c>
      <c r="DD239" s="69">
        <f>INDEX(smp_capex,24)</f>
        <v>0</v>
      </c>
      <c r="DE239" s="70">
        <f t="shared" si="198"/>
        <v>55000</v>
      </c>
      <c r="DF239" s="70">
        <f t="shared" si="199"/>
        <v>25000</v>
      </c>
      <c r="DG239"/>
      <c r="DH239"/>
    </row>
    <row r="240" spans="1:112" hidden="1" x14ac:dyDescent="0.2">
      <c r="A240" s="1"/>
      <c r="B240" s="35" t="s">
        <v>162</v>
      </c>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2"/>
      <c r="AE240" s="70">
        <f t="shared" ref="AE240:BB240" si="206">-AE239</f>
        <v>0</v>
      </c>
      <c r="AF240" s="70">
        <f t="shared" si="206"/>
        <v>0</v>
      </c>
      <c r="AG240" s="70">
        <f t="shared" si="206"/>
        <v>-35000</v>
      </c>
      <c r="AH240" s="70">
        <f t="shared" si="206"/>
        <v>0</v>
      </c>
      <c r="AI240" s="70">
        <f t="shared" si="206"/>
        <v>0</v>
      </c>
      <c r="AJ240" s="70">
        <f t="shared" si="206"/>
        <v>0</v>
      </c>
      <c r="AK240" s="70">
        <f t="shared" si="206"/>
        <v>0</v>
      </c>
      <c r="AL240" s="70">
        <f t="shared" si="206"/>
        <v>0</v>
      </c>
      <c r="AM240" s="70">
        <f t="shared" si="206"/>
        <v>0</v>
      </c>
      <c r="AN240" s="70">
        <f t="shared" si="206"/>
        <v>0</v>
      </c>
      <c r="AO240" s="70">
        <f t="shared" si="206"/>
        <v>-20000</v>
      </c>
      <c r="AP240" s="70">
        <f t="shared" si="206"/>
        <v>0</v>
      </c>
      <c r="AQ240" s="70">
        <f t="shared" si="206"/>
        <v>0</v>
      </c>
      <c r="AR240" s="70">
        <f t="shared" si="206"/>
        <v>0</v>
      </c>
      <c r="AS240" s="70">
        <f t="shared" si="206"/>
        <v>0</v>
      </c>
      <c r="AT240" s="70">
        <f t="shared" si="206"/>
        <v>-25000</v>
      </c>
      <c r="AU240" s="70">
        <f t="shared" si="206"/>
        <v>0</v>
      </c>
      <c r="AV240" s="70">
        <f t="shared" si="206"/>
        <v>0</v>
      </c>
      <c r="AW240" s="70">
        <f t="shared" si="206"/>
        <v>0</v>
      </c>
      <c r="AX240" s="70">
        <f t="shared" si="206"/>
        <v>0</v>
      </c>
      <c r="AY240" s="70">
        <f t="shared" si="206"/>
        <v>0</v>
      </c>
      <c r="AZ240" s="70">
        <f t="shared" si="206"/>
        <v>0</v>
      </c>
      <c r="BA240" s="70">
        <f t="shared" si="206"/>
        <v>0</v>
      </c>
      <c r="BB240" s="70">
        <f t="shared" si="206"/>
        <v>0</v>
      </c>
      <c r="BC240" s="70">
        <f t="shared" si="192"/>
        <v>-55000</v>
      </c>
      <c r="BD240" s="70">
        <f t="shared" si="193"/>
        <v>-25000</v>
      </c>
      <c r="BE240" s="2"/>
      <c r="BF240" s="70">
        <f t="shared" ref="BF240:CC240" si="207">-BF239</f>
        <v>0</v>
      </c>
      <c r="BG240" s="70">
        <f t="shared" si="207"/>
        <v>0</v>
      </c>
      <c r="BH240" s="70">
        <f t="shared" si="207"/>
        <v>-35000</v>
      </c>
      <c r="BI240" s="70">
        <f t="shared" si="207"/>
        <v>0</v>
      </c>
      <c r="BJ240" s="70">
        <f t="shared" si="207"/>
        <v>0</v>
      </c>
      <c r="BK240" s="70">
        <f t="shared" si="207"/>
        <v>0</v>
      </c>
      <c r="BL240" s="70">
        <f t="shared" si="207"/>
        <v>0</v>
      </c>
      <c r="BM240" s="70">
        <f t="shared" si="207"/>
        <v>0</v>
      </c>
      <c r="BN240" s="70">
        <f t="shared" si="207"/>
        <v>0</v>
      </c>
      <c r="BO240" s="70">
        <f t="shared" si="207"/>
        <v>0</v>
      </c>
      <c r="BP240" s="70">
        <f t="shared" si="207"/>
        <v>-20000</v>
      </c>
      <c r="BQ240" s="70">
        <f t="shared" si="207"/>
        <v>0</v>
      </c>
      <c r="BR240" s="70">
        <f t="shared" si="207"/>
        <v>0</v>
      </c>
      <c r="BS240" s="70">
        <f t="shared" si="207"/>
        <v>0</v>
      </c>
      <c r="BT240" s="70">
        <f t="shared" si="207"/>
        <v>0</v>
      </c>
      <c r="BU240" s="70">
        <f t="shared" si="207"/>
        <v>-25000</v>
      </c>
      <c r="BV240" s="70">
        <f t="shared" si="207"/>
        <v>0</v>
      </c>
      <c r="BW240" s="70">
        <f t="shared" si="207"/>
        <v>0</v>
      </c>
      <c r="BX240" s="70">
        <f t="shared" si="207"/>
        <v>0</v>
      </c>
      <c r="BY240" s="70">
        <f t="shared" si="207"/>
        <v>0</v>
      </c>
      <c r="BZ240" s="70">
        <f t="shared" si="207"/>
        <v>0</v>
      </c>
      <c r="CA240" s="70">
        <f t="shared" si="207"/>
        <v>0</v>
      </c>
      <c r="CB240" s="70">
        <f t="shared" si="207"/>
        <v>0</v>
      </c>
      <c r="CC240" s="70">
        <f t="shared" si="207"/>
        <v>0</v>
      </c>
      <c r="CD240" s="70">
        <f t="shared" si="195"/>
        <v>-55000</v>
      </c>
      <c r="CE240" s="70">
        <f t="shared" si="196"/>
        <v>-25000</v>
      </c>
      <c r="CF240" s="2"/>
      <c r="CG240" s="70">
        <f t="shared" ref="CG240:DD240" si="208">-CG239</f>
        <v>0</v>
      </c>
      <c r="CH240" s="70">
        <f t="shared" si="208"/>
        <v>0</v>
      </c>
      <c r="CI240" s="70">
        <f t="shared" si="208"/>
        <v>-35000</v>
      </c>
      <c r="CJ240" s="70">
        <f t="shared" si="208"/>
        <v>0</v>
      </c>
      <c r="CK240" s="70">
        <f t="shared" si="208"/>
        <v>0</v>
      </c>
      <c r="CL240" s="70">
        <f t="shared" si="208"/>
        <v>0</v>
      </c>
      <c r="CM240" s="70">
        <f t="shared" si="208"/>
        <v>0</v>
      </c>
      <c r="CN240" s="70">
        <f t="shared" si="208"/>
        <v>0</v>
      </c>
      <c r="CO240" s="70">
        <f t="shared" si="208"/>
        <v>0</v>
      </c>
      <c r="CP240" s="70">
        <f t="shared" si="208"/>
        <v>0</v>
      </c>
      <c r="CQ240" s="70">
        <f t="shared" si="208"/>
        <v>-20000</v>
      </c>
      <c r="CR240" s="70">
        <f t="shared" si="208"/>
        <v>0</v>
      </c>
      <c r="CS240" s="70">
        <f t="shared" si="208"/>
        <v>0</v>
      </c>
      <c r="CT240" s="70">
        <f t="shared" si="208"/>
        <v>0</v>
      </c>
      <c r="CU240" s="70">
        <f t="shared" si="208"/>
        <v>0</v>
      </c>
      <c r="CV240" s="70">
        <f t="shared" si="208"/>
        <v>-25000</v>
      </c>
      <c r="CW240" s="70">
        <f t="shared" si="208"/>
        <v>0</v>
      </c>
      <c r="CX240" s="70">
        <f t="shared" si="208"/>
        <v>0</v>
      </c>
      <c r="CY240" s="70">
        <f t="shared" si="208"/>
        <v>0</v>
      </c>
      <c r="CZ240" s="70">
        <f t="shared" si="208"/>
        <v>0</v>
      </c>
      <c r="DA240" s="70">
        <f t="shared" si="208"/>
        <v>0</v>
      </c>
      <c r="DB240" s="70">
        <f t="shared" si="208"/>
        <v>0</v>
      </c>
      <c r="DC240" s="70">
        <f t="shared" si="208"/>
        <v>0</v>
      </c>
      <c r="DD240" s="70">
        <f t="shared" si="208"/>
        <v>0</v>
      </c>
      <c r="DE240" s="70">
        <f t="shared" si="198"/>
        <v>-55000</v>
      </c>
      <c r="DF240" s="70">
        <f t="shared" si="199"/>
        <v>-25000</v>
      </c>
      <c r="DG240"/>
      <c r="DH240"/>
    </row>
    <row r="241" spans="1:112" hidden="1" x14ac:dyDescent="0.2">
      <c r="A241" s="1"/>
      <c r="B241" s="35" t="s">
        <v>163</v>
      </c>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2"/>
      <c r="AE241" s="69">
        <f>INDEX(smp_debt_draw,1)</f>
        <v>0</v>
      </c>
      <c r="AF241" s="69">
        <f>INDEX(smp_debt_draw,2)</f>
        <v>0</v>
      </c>
      <c r="AG241" s="69">
        <f>INDEX(smp_debt_draw,3)</f>
        <v>0</v>
      </c>
      <c r="AH241" s="69">
        <f>INDEX(smp_debt_draw,4)</f>
        <v>0</v>
      </c>
      <c r="AI241" s="69">
        <f>INDEX(smp_debt_draw,5)</f>
        <v>0</v>
      </c>
      <c r="AJ241" s="69">
        <f>INDEX(smp_debt_draw,6)</f>
        <v>0</v>
      </c>
      <c r="AK241" s="69">
        <f>INDEX(smp_debt_draw,7)</f>
        <v>0</v>
      </c>
      <c r="AL241" s="69">
        <f>INDEX(smp_debt_draw,8)</f>
        <v>0</v>
      </c>
      <c r="AM241" s="69">
        <f>INDEX(smp_debt_draw,9)</f>
        <v>0</v>
      </c>
      <c r="AN241" s="69">
        <f>INDEX(smp_debt_draw,10)</f>
        <v>0</v>
      </c>
      <c r="AO241" s="69">
        <f>INDEX(smp_debt_draw,11)</f>
        <v>0</v>
      </c>
      <c r="AP241" s="69">
        <f>INDEX(smp_debt_draw,12)</f>
        <v>0</v>
      </c>
      <c r="AQ241" s="69">
        <f>INDEX(smp_debt_draw,13)</f>
        <v>0</v>
      </c>
      <c r="AR241" s="69">
        <f>INDEX(smp_debt_draw,14)</f>
        <v>0</v>
      </c>
      <c r="AS241" s="69">
        <f>INDEX(smp_debt_draw,15)</f>
        <v>0</v>
      </c>
      <c r="AT241" s="69">
        <f>INDEX(smp_debt_draw,16)</f>
        <v>0</v>
      </c>
      <c r="AU241" s="69">
        <f>INDEX(smp_debt_draw,17)</f>
        <v>0</v>
      </c>
      <c r="AV241" s="69">
        <f>INDEX(smp_debt_draw,18)</f>
        <v>0</v>
      </c>
      <c r="AW241" s="69">
        <f>INDEX(smp_debt_draw,19)</f>
        <v>0</v>
      </c>
      <c r="AX241" s="69">
        <f>INDEX(smp_debt_draw,20)</f>
        <v>0</v>
      </c>
      <c r="AY241" s="69">
        <f>INDEX(smp_debt_draw,21)</f>
        <v>0</v>
      </c>
      <c r="AZ241" s="69">
        <f>INDEX(smp_debt_draw,22)</f>
        <v>0</v>
      </c>
      <c r="BA241" s="69">
        <f>INDEX(smp_debt_draw,23)</f>
        <v>0</v>
      </c>
      <c r="BB241" s="69">
        <f>INDEX(smp_debt_draw,24)</f>
        <v>0</v>
      </c>
      <c r="BC241" s="70">
        <f t="shared" si="192"/>
        <v>0</v>
      </c>
      <c r="BD241" s="70">
        <f t="shared" si="193"/>
        <v>0</v>
      </c>
      <c r="BE241" s="2"/>
      <c r="BF241" s="69">
        <f>INDEX(smp_debt_draw,1)</f>
        <v>0</v>
      </c>
      <c r="BG241" s="69">
        <f>INDEX(smp_debt_draw,2)</f>
        <v>0</v>
      </c>
      <c r="BH241" s="69">
        <f>INDEX(smp_debt_draw,3)</f>
        <v>0</v>
      </c>
      <c r="BI241" s="69">
        <f>INDEX(smp_debt_draw,4)</f>
        <v>0</v>
      </c>
      <c r="BJ241" s="69">
        <f>INDEX(smp_debt_draw,5)</f>
        <v>0</v>
      </c>
      <c r="BK241" s="69">
        <f>INDEX(smp_debt_draw,6)</f>
        <v>0</v>
      </c>
      <c r="BL241" s="69">
        <f>INDEX(smp_debt_draw,7)</f>
        <v>0</v>
      </c>
      <c r="BM241" s="69">
        <f>INDEX(smp_debt_draw,8)</f>
        <v>0</v>
      </c>
      <c r="BN241" s="69">
        <f>INDEX(smp_debt_draw,9)</f>
        <v>0</v>
      </c>
      <c r="BO241" s="69">
        <f>INDEX(smp_debt_draw,10)</f>
        <v>0</v>
      </c>
      <c r="BP241" s="69">
        <f>INDEX(smp_debt_draw,11)</f>
        <v>0</v>
      </c>
      <c r="BQ241" s="69">
        <f>INDEX(smp_debt_draw,12)</f>
        <v>0</v>
      </c>
      <c r="BR241" s="69">
        <f>INDEX(smp_debt_draw,13)</f>
        <v>0</v>
      </c>
      <c r="BS241" s="69">
        <f>INDEX(smp_debt_draw,14)</f>
        <v>0</v>
      </c>
      <c r="BT241" s="69">
        <f>INDEX(smp_debt_draw,15)</f>
        <v>0</v>
      </c>
      <c r="BU241" s="69">
        <f>INDEX(smp_debt_draw,16)</f>
        <v>0</v>
      </c>
      <c r="BV241" s="69">
        <f>INDEX(smp_debt_draw,17)</f>
        <v>0</v>
      </c>
      <c r="BW241" s="69">
        <f>INDEX(smp_debt_draw,18)</f>
        <v>0</v>
      </c>
      <c r="BX241" s="69">
        <f>INDEX(smp_debt_draw,19)</f>
        <v>0</v>
      </c>
      <c r="BY241" s="69">
        <f>INDEX(smp_debt_draw,20)</f>
        <v>0</v>
      </c>
      <c r="BZ241" s="69">
        <f>INDEX(smp_debt_draw,21)</f>
        <v>0</v>
      </c>
      <c r="CA241" s="69">
        <f>INDEX(smp_debt_draw,22)</f>
        <v>0</v>
      </c>
      <c r="CB241" s="69">
        <f>INDEX(smp_debt_draw,23)</f>
        <v>0</v>
      </c>
      <c r="CC241" s="69">
        <f>INDEX(smp_debt_draw,24)</f>
        <v>0</v>
      </c>
      <c r="CD241" s="70">
        <f t="shared" si="195"/>
        <v>0</v>
      </c>
      <c r="CE241" s="70">
        <f t="shared" si="196"/>
        <v>0</v>
      </c>
      <c r="CF241" s="2"/>
      <c r="CG241" s="69">
        <f>INDEX(smp_debt_draw,1)</f>
        <v>0</v>
      </c>
      <c r="CH241" s="69">
        <f>INDEX(smp_debt_draw,2)</f>
        <v>0</v>
      </c>
      <c r="CI241" s="69">
        <f>INDEX(smp_debt_draw,3)</f>
        <v>0</v>
      </c>
      <c r="CJ241" s="69">
        <f>INDEX(smp_debt_draw,4)</f>
        <v>0</v>
      </c>
      <c r="CK241" s="69">
        <f>INDEX(smp_debt_draw,5)</f>
        <v>0</v>
      </c>
      <c r="CL241" s="69">
        <f>INDEX(smp_debt_draw,6)</f>
        <v>0</v>
      </c>
      <c r="CM241" s="69">
        <f>INDEX(smp_debt_draw,7)</f>
        <v>0</v>
      </c>
      <c r="CN241" s="69">
        <f>INDEX(smp_debt_draw,8)</f>
        <v>0</v>
      </c>
      <c r="CO241" s="69">
        <f>INDEX(smp_debt_draw,9)</f>
        <v>0</v>
      </c>
      <c r="CP241" s="69">
        <f>INDEX(smp_debt_draw,10)</f>
        <v>0</v>
      </c>
      <c r="CQ241" s="69">
        <f>INDEX(smp_debt_draw,11)</f>
        <v>0</v>
      </c>
      <c r="CR241" s="69">
        <f>INDEX(smp_debt_draw,12)</f>
        <v>0</v>
      </c>
      <c r="CS241" s="69">
        <f>INDEX(smp_debt_draw,13)</f>
        <v>0</v>
      </c>
      <c r="CT241" s="69">
        <f>INDEX(smp_debt_draw,14)</f>
        <v>0</v>
      </c>
      <c r="CU241" s="69">
        <f>INDEX(smp_debt_draw,15)</f>
        <v>0</v>
      </c>
      <c r="CV241" s="69">
        <f>INDEX(smp_debt_draw,16)</f>
        <v>0</v>
      </c>
      <c r="CW241" s="69">
        <f>INDEX(smp_debt_draw,17)</f>
        <v>0</v>
      </c>
      <c r="CX241" s="69">
        <f>INDEX(smp_debt_draw,18)</f>
        <v>0</v>
      </c>
      <c r="CY241" s="69">
        <f>INDEX(smp_debt_draw,19)</f>
        <v>0</v>
      </c>
      <c r="CZ241" s="69">
        <f>INDEX(smp_debt_draw,20)</f>
        <v>0</v>
      </c>
      <c r="DA241" s="69">
        <f>INDEX(smp_debt_draw,21)</f>
        <v>0</v>
      </c>
      <c r="DB241" s="69">
        <f>INDEX(smp_debt_draw,22)</f>
        <v>0</v>
      </c>
      <c r="DC241" s="69">
        <f>INDEX(smp_debt_draw,23)</f>
        <v>0</v>
      </c>
      <c r="DD241" s="69">
        <f>INDEX(smp_debt_draw,24)</f>
        <v>0</v>
      </c>
      <c r="DE241" s="70">
        <f t="shared" si="198"/>
        <v>0</v>
      </c>
      <c r="DF241" s="70">
        <f t="shared" si="199"/>
        <v>0</v>
      </c>
      <c r="DG241"/>
      <c r="DH241"/>
    </row>
    <row r="242" spans="1:112" hidden="1" x14ac:dyDescent="0.2">
      <c r="A242" s="1"/>
      <c r="B242" s="35" t="s">
        <v>164</v>
      </c>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2"/>
      <c r="AE242" s="69">
        <f>INDEX(smp_debt_repay,1)</f>
        <v>8333</v>
      </c>
      <c r="AF242" s="69">
        <f>INDEX(smp_debt_repay,2)</f>
        <v>8333</v>
      </c>
      <c r="AG242" s="69">
        <f>INDEX(smp_debt_repay,3)</f>
        <v>8333</v>
      </c>
      <c r="AH242" s="69">
        <f>INDEX(smp_debt_repay,4)</f>
        <v>8333</v>
      </c>
      <c r="AI242" s="69">
        <f>INDEX(smp_debt_repay,5)</f>
        <v>8333</v>
      </c>
      <c r="AJ242" s="69">
        <f>INDEX(smp_debt_repay,6)</f>
        <v>8333</v>
      </c>
      <c r="AK242" s="69">
        <f>INDEX(smp_debt_repay,7)</f>
        <v>8333</v>
      </c>
      <c r="AL242" s="69">
        <f>INDEX(smp_debt_repay,8)</f>
        <v>8333</v>
      </c>
      <c r="AM242" s="69">
        <f>INDEX(smp_debt_repay,9)</f>
        <v>8333</v>
      </c>
      <c r="AN242" s="69">
        <f>INDEX(smp_debt_repay,10)</f>
        <v>8333</v>
      </c>
      <c r="AO242" s="69">
        <f>INDEX(smp_debt_repay,11)</f>
        <v>8333</v>
      </c>
      <c r="AP242" s="69">
        <f>INDEX(smp_debt_repay,12)</f>
        <v>8333</v>
      </c>
      <c r="AQ242" s="69">
        <f>INDEX(smp_debt_repay,13)</f>
        <v>8333</v>
      </c>
      <c r="AR242" s="69">
        <f>INDEX(smp_debt_repay,14)</f>
        <v>8333</v>
      </c>
      <c r="AS242" s="69">
        <f>INDEX(smp_debt_repay,15)</f>
        <v>8333</v>
      </c>
      <c r="AT242" s="69">
        <f>INDEX(smp_debt_repay,16)</f>
        <v>8333</v>
      </c>
      <c r="AU242" s="69">
        <f>INDEX(smp_debt_repay,17)</f>
        <v>8333</v>
      </c>
      <c r="AV242" s="69">
        <f>INDEX(smp_debt_repay,18)</f>
        <v>8333</v>
      </c>
      <c r="AW242" s="69">
        <f>INDEX(smp_debt_repay,19)</f>
        <v>8333</v>
      </c>
      <c r="AX242" s="69">
        <f>INDEX(smp_debt_repay,20)</f>
        <v>8333</v>
      </c>
      <c r="AY242" s="69">
        <f>INDEX(smp_debt_repay,21)</f>
        <v>8333</v>
      </c>
      <c r="AZ242" s="69">
        <f>INDEX(smp_debt_repay,22)</f>
        <v>8333</v>
      </c>
      <c r="BA242" s="69">
        <f>INDEX(smp_debt_repay,23)</f>
        <v>8333</v>
      </c>
      <c r="BB242" s="69">
        <f>INDEX(smp_debt_repay,24)</f>
        <v>8333</v>
      </c>
      <c r="BC242" s="70">
        <f t="shared" si="192"/>
        <v>99996</v>
      </c>
      <c r="BD242" s="70">
        <f t="shared" si="193"/>
        <v>99996</v>
      </c>
      <c r="BE242" s="2"/>
      <c r="BF242" s="69">
        <f>INDEX(smp_debt_repay,1)</f>
        <v>8333</v>
      </c>
      <c r="BG242" s="69">
        <f>INDEX(smp_debt_repay,2)</f>
        <v>8333</v>
      </c>
      <c r="BH242" s="69">
        <f>INDEX(smp_debt_repay,3)</f>
        <v>8333</v>
      </c>
      <c r="BI242" s="69">
        <f>INDEX(smp_debt_repay,4)</f>
        <v>8333</v>
      </c>
      <c r="BJ242" s="69">
        <f>INDEX(smp_debt_repay,5)</f>
        <v>8333</v>
      </c>
      <c r="BK242" s="69">
        <f>INDEX(smp_debt_repay,6)</f>
        <v>8333</v>
      </c>
      <c r="BL242" s="69">
        <f>INDEX(smp_debt_repay,7)</f>
        <v>8333</v>
      </c>
      <c r="BM242" s="69">
        <f>INDEX(smp_debt_repay,8)</f>
        <v>8333</v>
      </c>
      <c r="BN242" s="69">
        <f>INDEX(smp_debt_repay,9)</f>
        <v>8333</v>
      </c>
      <c r="BO242" s="69">
        <f>INDEX(smp_debt_repay,10)</f>
        <v>8333</v>
      </c>
      <c r="BP242" s="69">
        <f>INDEX(smp_debt_repay,11)</f>
        <v>8333</v>
      </c>
      <c r="BQ242" s="69">
        <f>INDEX(smp_debt_repay,12)</f>
        <v>8333</v>
      </c>
      <c r="BR242" s="69">
        <f>INDEX(smp_debt_repay,13)</f>
        <v>8333</v>
      </c>
      <c r="BS242" s="69">
        <f>INDEX(smp_debt_repay,14)</f>
        <v>8333</v>
      </c>
      <c r="BT242" s="69">
        <f>INDEX(smp_debt_repay,15)</f>
        <v>8333</v>
      </c>
      <c r="BU242" s="69">
        <f>INDEX(smp_debt_repay,16)</f>
        <v>8333</v>
      </c>
      <c r="BV242" s="69">
        <f>INDEX(smp_debt_repay,17)</f>
        <v>8333</v>
      </c>
      <c r="BW242" s="69">
        <f>INDEX(smp_debt_repay,18)</f>
        <v>8333</v>
      </c>
      <c r="BX242" s="69">
        <f>INDEX(smp_debt_repay,19)</f>
        <v>8333</v>
      </c>
      <c r="BY242" s="69">
        <f>INDEX(smp_debt_repay,20)</f>
        <v>8333</v>
      </c>
      <c r="BZ242" s="69">
        <f>INDEX(smp_debt_repay,21)</f>
        <v>8333</v>
      </c>
      <c r="CA242" s="69">
        <f>INDEX(smp_debt_repay,22)</f>
        <v>8333</v>
      </c>
      <c r="CB242" s="69">
        <f>INDEX(smp_debt_repay,23)</f>
        <v>8333</v>
      </c>
      <c r="CC242" s="69">
        <f>INDEX(smp_debt_repay,24)</f>
        <v>8333</v>
      </c>
      <c r="CD242" s="70">
        <f t="shared" si="195"/>
        <v>99996</v>
      </c>
      <c r="CE242" s="70">
        <f t="shared" si="196"/>
        <v>99996</v>
      </c>
      <c r="CF242" s="2"/>
      <c r="CG242" s="69">
        <f>INDEX(smp_debt_repay,1)</f>
        <v>8333</v>
      </c>
      <c r="CH242" s="69">
        <f>INDEX(smp_debt_repay,2)</f>
        <v>8333</v>
      </c>
      <c r="CI242" s="69">
        <f>INDEX(smp_debt_repay,3)</f>
        <v>8333</v>
      </c>
      <c r="CJ242" s="69">
        <f>INDEX(smp_debt_repay,4)</f>
        <v>8333</v>
      </c>
      <c r="CK242" s="69">
        <f>INDEX(smp_debt_repay,5)</f>
        <v>8333</v>
      </c>
      <c r="CL242" s="69">
        <f>INDEX(smp_debt_repay,6)</f>
        <v>8333</v>
      </c>
      <c r="CM242" s="69">
        <f>INDEX(smp_debt_repay,7)</f>
        <v>8333</v>
      </c>
      <c r="CN242" s="69">
        <f>INDEX(smp_debt_repay,8)</f>
        <v>8333</v>
      </c>
      <c r="CO242" s="69">
        <f>INDEX(smp_debt_repay,9)</f>
        <v>8333</v>
      </c>
      <c r="CP242" s="69">
        <f>INDEX(smp_debt_repay,10)</f>
        <v>8333</v>
      </c>
      <c r="CQ242" s="69">
        <f>INDEX(smp_debt_repay,11)</f>
        <v>8333</v>
      </c>
      <c r="CR242" s="69">
        <f>INDEX(smp_debt_repay,12)</f>
        <v>8333</v>
      </c>
      <c r="CS242" s="69">
        <f>INDEX(smp_debt_repay,13)</f>
        <v>8333</v>
      </c>
      <c r="CT242" s="69">
        <f>INDEX(smp_debt_repay,14)</f>
        <v>8333</v>
      </c>
      <c r="CU242" s="69">
        <f>INDEX(smp_debt_repay,15)</f>
        <v>8333</v>
      </c>
      <c r="CV242" s="69">
        <f>INDEX(smp_debt_repay,16)</f>
        <v>8333</v>
      </c>
      <c r="CW242" s="69">
        <f>INDEX(smp_debt_repay,17)</f>
        <v>8333</v>
      </c>
      <c r="CX242" s="69">
        <f>INDEX(smp_debt_repay,18)</f>
        <v>8333</v>
      </c>
      <c r="CY242" s="69">
        <f>INDEX(smp_debt_repay,19)</f>
        <v>8333</v>
      </c>
      <c r="CZ242" s="69">
        <f>INDEX(smp_debt_repay,20)</f>
        <v>8333</v>
      </c>
      <c r="DA242" s="69">
        <f>INDEX(smp_debt_repay,21)</f>
        <v>8333</v>
      </c>
      <c r="DB242" s="69">
        <f>INDEX(smp_debt_repay,22)</f>
        <v>8333</v>
      </c>
      <c r="DC242" s="69">
        <f>INDEX(smp_debt_repay,23)</f>
        <v>8333</v>
      </c>
      <c r="DD242" s="69">
        <f>INDEX(smp_debt_repay,24)</f>
        <v>8333</v>
      </c>
      <c r="DE242" s="70">
        <f t="shared" si="198"/>
        <v>99996</v>
      </c>
      <c r="DF242" s="70">
        <f t="shared" si="199"/>
        <v>99996</v>
      </c>
      <c r="DG242"/>
      <c r="DH242"/>
    </row>
    <row r="243" spans="1:112" hidden="1" x14ac:dyDescent="0.2">
      <c r="A243" s="1"/>
      <c r="B243" s="35" t="s">
        <v>165</v>
      </c>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2"/>
      <c r="AE243" s="69">
        <f>INDEX(smp_dist,1)</f>
        <v>8000</v>
      </c>
      <c r="AF243" s="69">
        <f>INDEX(smp_dist,2)</f>
        <v>8000</v>
      </c>
      <c r="AG243" s="69">
        <f>INDEX(smp_dist,3)</f>
        <v>8000</v>
      </c>
      <c r="AH243" s="69">
        <f>INDEX(smp_dist,4)</f>
        <v>8000</v>
      </c>
      <c r="AI243" s="69">
        <f>INDEX(smp_dist,5)</f>
        <v>8000</v>
      </c>
      <c r="AJ243" s="69">
        <f>INDEX(smp_dist,6)</f>
        <v>8000</v>
      </c>
      <c r="AK243" s="69">
        <f>INDEX(smp_dist,7)</f>
        <v>8000</v>
      </c>
      <c r="AL243" s="69">
        <f>INDEX(smp_dist,8)</f>
        <v>8000</v>
      </c>
      <c r="AM243" s="69">
        <f>INDEX(smp_dist,9)</f>
        <v>8000</v>
      </c>
      <c r="AN243" s="69">
        <f>INDEX(smp_dist,10)</f>
        <v>8000</v>
      </c>
      <c r="AO243" s="69">
        <f>INDEX(smp_dist,11)</f>
        <v>8000</v>
      </c>
      <c r="AP243" s="69">
        <f>INDEX(smp_dist,12)</f>
        <v>38000</v>
      </c>
      <c r="AQ243" s="69">
        <f>INDEX(smp_dist,13)</f>
        <v>8000</v>
      </c>
      <c r="AR243" s="69">
        <f>INDEX(smp_dist,14)</f>
        <v>8000</v>
      </c>
      <c r="AS243" s="69">
        <f>INDEX(smp_dist,15)</f>
        <v>8000</v>
      </c>
      <c r="AT243" s="69">
        <f>INDEX(smp_dist,16)</f>
        <v>8000</v>
      </c>
      <c r="AU243" s="69">
        <f>INDEX(smp_dist,17)</f>
        <v>8000</v>
      </c>
      <c r="AV243" s="69">
        <f>INDEX(smp_dist,18)</f>
        <v>8000</v>
      </c>
      <c r="AW243" s="69">
        <f>INDEX(smp_dist,19)</f>
        <v>8000</v>
      </c>
      <c r="AX243" s="69">
        <f>INDEX(smp_dist,20)</f>
        <v>8000</v>
      </c>
      <c r="AY243" s="69">
        <f>INDEX(smp_dist,21)</f>
        <v>8000</v>
      </c>
      <c r="AZ243" s="69">
        <f>INDEX(smp_dist,22)</f>
        <v>8000</v>
      </c>
      <c r="BA243" s="69">
        <f>INDEX(smp_dist,23)</f>
        <v>8000</v>
      </c>
      <c r="BB243" s="69">
        <f>INDEX(smp_dist,24)</f>
        <v>42000</v>
      </c>
      <c r="BC243" s="70">
        <f t="shared" si="192"/>
        <v>126000</v>
      </c>
      <c r="BD243" s="70">
        <f t="shared" si="193"/>
        <v>130000</v>
      </c>
      <c r="BE243" s="2"/>
      <c r="BF243" s="69">
        <f>INDEX(smp_dist,1)</f>
        <v>8000</v>
      </c>
      <c r="BG243" s="69">
        <f>INDEX(smp_dist,2)</f>
        <v>8000</v>
      </c>
      <c r="BH243" s="69">
        <f>INDEX(smp_dist,3)</f>
        <v>8000</v>
      </c>
      <c r="BI243" s="69">
        <f>INDEX(smp_dist,4)</f>
        <v>8000</v>
      </c>
      <c r="BJ243" s="69">
        <f>INDEX(smp_dist,5)</f>
        <v>8000</v>
      </c>
      <c r="BK243" s="69">
        <f>INDEX(smp_dist,6)</f>
        <v>8000</v>
      </c>
      <c r="BL243" s="69">
        <f>INDEX(smp_dist,7)</f>
        <v>8000</v>
      </c>
      <c r="BM243" s="69">
        <f>INDEX(smp_dist,8)</f>
        <v>8000</v>
      </c>
      <c r="BN243" s="69">
        <f>INDEX(smp_dist,9)</f>
        <v>8000</v>
      </c>
      <c r="BO243" s="69">
        <f>INDEX(smp_dist,10)</f>
        <v>8000</v>
      </c>
      <c r="BP243" s="69">
        <f>INDEX(smp_dist,11)</f>
        <v>8000</v>
      </c>
      <c r="BQ243" s="69">
        <f>INDEX(smp_dist,12)</f>
        <v>38000</v>
      </c>
      <c r="BR243" s="69">
        <f>INDEX(smp_dist,13)</f>
        <v>8000</v>
      </c>
      <c r="BS243" s="69">
        <f>INDEX(smp_dist,14)</f>
        <v>8000</v>
      </c>
      <c r="BT243" s="69">
        <f>INDEX(smp_dist,15)</f>
        <v>8000</v>
      </c>
      <c r="BU243" s="69">
        <f>INDEX(smp_dist,16)</f>
        <v>8000</v>
      </c>
      <c r="BV243" s="69">
        <f>INDEX(smp_dist,17)</f>
        <v>8000</v>
      </c>
      <c r="BW243" s="69">
        <f>INDEX(smp_dist,18)</f>
        <v>8000</v>
      </c>
      <c r="BX243" s="69">
        <f>INDEX(smp_dist,19)</f>
        <v>8000</v>
      </c>
      <c r="BY243" s="69">
        <f>INDEX(smp_dist,20)</f>
        <v>8000</v>
      </c>
      <c r="BZ243" s="69">
        <f>INDEX(smp_dist,21)</f>
        <v>8000</v>
      </c>
      <c r="CA243" s="69">
        <f>INDEX(smp_dist,22)</f>
        <v>8000</v>
      </c>
      <c r="CB243" s="69">
        <f>INDEX(smp_dist,23)</f>
        <v>8000</v>
      </c>
      <c r="CC243" s="69">
        <f>INDEX(smp_dist,24)</f>
        <v>42000</v>
      </c>
      <c r="CD243" s="70">
        <f t="shared" si="195"/>
        <v>126000</v>
      </c>
      <c r="CE243" s="70">
        <f t="shared" si="196"/>
        <v>130000</v>
      </c>
      <c r="CF243" s="2"/>
      <c r="CG243" s="69">
        <f>INDEX(smp_dist,1)</f>
        <v>8000</v>
      </c>
      <c r="CH243" s="69">
        <f>INDEX(smp_dist,2)</f>
        <v>8000</v>
      </c>
      <c r="CI243" s="69">
        <f>INDEX(smp_dist,3)</f>
        <v>8000</v>
      </c>
      <c r="CJ243" s="69">
        <f>INDEX(smp_dist,4)</f>
        <v>8000</v>
      </c>
      <c r="CK243" s="69">
        <f>INDEX(smp_dist,5)</f>
        <v>8000</v>
      </c>
      <c r="CL243" s="69">
        <f>INDEX(smp_dist,6)</f>
        <v>8000</v>
      </c>
      <c r="CM243" s="69">
        <f>INDEX(smp_dist,7)</f>
        <v>8000</v>
      </c>
      <c r="CN243" s="69">
        <f>INDEX(smp_dist,8)</f>
        <v>8000</v>
      </c>
      <c r="CO243" s="69">
        <f>INDEX(smp_dist,9)</f>
        <v>8000</v>
      </c>
      <c r="CP243" s="69">
        <f>INDEX(smp_dist,10)</f>
        <v>8000</v>
      </c>
      <c r="CQ243" s="69">
        <f>INDEX(smp_dist,11)</f>
        <v>8000</v>
      </c>
      <c r="CR243" s="69">
        <f>INDEX(smp_dist,12)</f>
        <v>38000</v>
      </c>
      <c r="CS243" s="69">
        <f>INDEX(smp_dist,13)</f>
        <v>8000</v>
      </c>
      <c r="CT243" s="69">
        <f>INDEX(smp_dist,14)</f>
        <v>8000</v>
      </c>
      <c r="CU243" s="69">
        <f>INDEX(smp_dist,15)</f>
        <v>8000</v>
      </c>
      <c r="CV243" s="69">
        <f>INDEX(smp_dist,16)</f>
        <v>8000</v>
      </c>
      <c r="CW243" s="69">
        <f>INDEX(smp_dist,17)</f>
        <v>8000</v>
      </c>
      <c r="CX243" s="69">
        <f>INDEX(smp_dist,18)</f>
        <v>8000</v>
      </c>
      <c r="CY243" s="69">
        <f>INDEX(smp_dist,19)</f>
        <v>8000</v>
      </c>
      <c r="CZ243" s="69">
        <f>INDEX(smp_dist,20)</f>
        <v>8000</v>
      </c>
      <c r="DA243" s="69">
        <f>INDEX(smp_dist,21)</f>
        <v>8000</v>
      </c>
      <c r="DB243" s="69">
        <f>INDEX(smp_dist,22)</f>
        <v>8000</v>
      </c>
      <c r="DC243" s="69">
        <f>INDEX(smp_dist,23)</f>
        <v>8000</v>
      </c>
      <c r="DD243" s="69">
        <f>INDEX(smp_dist,24)</f>
        <v>42000</v>
      </c>
      <c r="DE243" s="70">
        <f t="shared" si="198"/>
        <v>126000</v>
      </c>
      <c r="DF243" s="70">
        <f t="shared" si="199"/>
        <v>130000</v>
      </c>
      <c r="DG243"/>
      <c r="DH243"/>
    </row>
    <row r="244" spans="1:112" hidden="1" x14ac:dyDescent="0.2">
      <c r="A244" s="1"/>
      <c r="B244" s="35" t="s">
        <v>166</v>
      </c>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2"/>
      <c r="AE244" s="69">
        <f>INDEX(smp_equity_contr,1)</f>
        <v>0</v>
      </c>
      <c r="AF244" s="69">
        <f>INDEX(smp_equity_contr,2)</f>
        <v>0</v>
      </c>
      <c r="AG244" s="69">
        <f>INDEX(smp_equity_contr,3)</f>
        <v>0</v>
      </c>
      <c r="AH244" s="69">
        <f>INDEX(smp_equity_contr,4)</f>
        <v>0</v>
      </c>
      <c r="AI244" s="69">
        <f>INDEX(smp_equity_contr,5)</f>
        <v>0</v>
      </c>
      <c r="AJ244" s="69">
        <f>INDEX(smp_equity_contr,6)</f>
        <v>0</v>
      </c>
      <c r="AK244" s="69">
        <f>INDEX(smp_equity_contr,7)</f>
        <v>0</v>
      </c>
      <c r="AL244" s="69">
        <f>INDEX(smp_equity_contr,8)</f>
        <v>0</v>
      </c>
      <c r="AM244" s="69">
        <f>INDEX(smp_equity_contr,9)</f>
        <v>0</v>
      </c>
      <c r="AN244" s="69">
        <f>INDEX(smp_equity_contr,10)</f>
        <v>0</v>
      </c>
      <c r="AO244" s="69">
        <f>INDEX(smp_equity_contr,11)</f>
        <v>0</v>
      </c>
      <c r="AP244" s="69">
        <f>INDEX(smp_equity_contr,12)</f>
        <v>0</v>
      </c>
      <c r="AQ244" s="69">
        <f>INDEX(smp_equity_contr,13)</f>
        <v>0</v>
      </c>
      <c r="AR244" s="69">
        <f>INDEX(smp_equity_contr,14)</f>
        <v>0</v>
      </c>
      <c r="AS244" s="69">
        <f>INDEX(smp_equity_contr,15)</f>
        <v>0</v>
      </c>
      <c r="AT244" s="69">
        <f>INDEX(smp_equity_contr,16)</f>
        <v>0</v>
      </c>
      <c r="AU244" s="69">
        <f>INDEX(smp_equity_contr,17)</f>
        <v>0</v>
      </c>
      <c r="AV244" s="69">
        <f>INDEX(smp_equity_contr,18)</f>
        <v>0</v>
      </c>
      <c r="AW244" s="69">
        <f>INDEX(smp_equity_contr,19)</f>
        <v>0</v>
      </c>
      <c r="AX244" s="69">
        <f>INDEX(smp_equity_contr,20)</f>
        <v>0</v>
      </c>
      <c r="AY244" s="69">
        <f>INDEX(smp_equity_contr,21)</f>
        <v>0</v>
      </c>
      <c r="AZ244" s="69">
        <f>INDEX(smp_equity_contr,22)</f>
        <v>0</v>
      </c>
      <c r="BA244" s="69">
        <f>INDEX(smp_equity_contr,23)</f>
        <v>0</v>
      </c>
      <c r="BB244" s="69">
        <f>INDEX(smp_equity_contr,24)</f>
        <v>0</v>
      </c>
      <c r="BC244" s="70">
        <f t="shared" si="192"/>
        <v>0</v>
      </c>
      <c r="BD244" s="70">
        <f t="shared" si="193"/>
        <v>0</v>
      </c>
      <c r="BE244" s="2"/>
      <c r="BF244" s="69">
        <f>INDEX(smp_equity_contr,1)</f>
        <v>0</v>
      </c>
      <c r="BG244" s="69">
        <f>INDEX(smp_equity_contr,2)</f>
        <v>0</v>
      </c>
      <c r="BH244" s="69">
        <f>INDEX(smp_equity_contr,3)</f>
        <v>0</v>
      </c>
      <c r="BI244" s="69">
        <f>INDEX(smp_equity_contr,4)</f>
        <v>0</v>
      </c>
      <c r="BJ244" s="69">
        <f>INDEX(smp_equity_contr,5)</f>
        <v>0</v>
      </c>
      <c r="BK244" s="69">
        <f>INDEX(smp_equity_contr,6)</f>
        <v>0</v>
      </c>
      <c r="BL244" s="69">
        <f>INDEX(smp_equity_contr,7)</f>
        <v>0</v>
      </c>
      <c r="BM244" s="69">
        <f>INDEX(smp_equity_contr,8)</f>
        <v>0</v>
      </c>
      <c r="BN244" s="69">
        <f>INDEX(smp_equity_contr,9)</f>
        <v>0</v>
      </c>
      <c r="BO244" s="69">
        <f>INDEX(smp_equity_contr,10)</f>
        <v>0</v>
      </c>
      <c r="BP244" s="69">
        <f>INDEX(smp_equity_contr,11)</f>
        <v>0</v>
      </c>
      <c r="BQ244" s="69">
        <f>INDEX(smp_equity_contr,12)</f>
        <v>0</v>
      </c>
      <c r="BR244" s="69">
        <f>INDEX(smp_equity_contr,13)</f>
        <v>0</v>
      </c>
      <c r="BS244" s="69">
        <f>INDEX(smp_equity_contr,14)</f>
        <v>0</v>
      </c>
      <c r="BT244" s="69">
        <f>INDEX(smp_equity_contr,15)</f>
        <v>0</v>
      </c>
      <c r="BU244" s="69">
        <f>INDEX(smp_equity_contr,16)</f>
        <v>0</v>
      </c>
      <c r="BV244" s="69">
        <f>INDEX(smp_equity_contr,17)</f>
        <v>0</v>
      </c>
      <c r="BW244" s="69">
        <f>INDEX(smp_equity_contr,18)</f>
        <v>0</v>
      </c>
      <c r="BX244" s="69">
        <f>INDEX(smp_equity_contr,19)</f>
        <v>0</v>
      </c>
      <c r="BY244" s="69">
        <f>INDEX(smp_equity_contr,20)</f>
        <v>0</v>
      </c>
      <c r="BZ244" s="69">
        <f>INDEX(smp_equity_contr,21)</f>
        <v>0</v>
      </c>
      <c r="CA244" s="69">
        <f>INDEX(smp_equity_contr,22)</f>
        <v>0</v>
      </c>
      <c r="CB244" s="69">
        <f>INDEX(smp_equity_contr,23)</f>
        <v>0</v>
      </c>
      <c r="CC244" s="69">
        <f>INDEX(smp_equity_contr,24)</f>
        <v>0</v>
      </c>
      <c r="CD244" s="70">
        <f t="shared" si="195"/>
        <v>0</v>
      </c>
      <c r="CE244" s="70">
        <f t="shared" si="196"/>
        <v>0</v>
      </c>
      <c r="CF244" s="2"/>
      <c r="CG244" s="69">
        <f>INDEX(smp_equity_contr,1)</f>
        <v>0</v>
      </c>
      <c r="CH244" s="69">
        <f>INDEX(smp_equity_contr,2)</f>
        <v>0</v>
      </c>
      <c r="CI244" s="69">
        <f>INDEX(smp_equity_contr,3)</f>
        <v>0</v>
      </c>
      <c r="CJ244" s="69">
        <f>INDEX(smp_equity_contr,4)</f>
        <v>0</v>
      </c>
      <c r="CK244" s="69">
        <f>INDEX(smp_equity_contr,5)</f>
        <v>0</v>
      </c>
      <c r="CL244" s="69">
        <f>INDEX(smp_equity_contr,6)</f>
        <v>0</v>
      </c>
      <c r="CM244" s="69">
        <f>INDEX(smp_equity_contr,7)</f>
        <v>0</v>
      </c>
      <c r="CN244" s="69">
        <f>INDEX(smp_equity_contr,8)</f>
        <v>0</v>
      </c>
      <c r="CO244" s="69">
        <f>INDEX(smp_equity_contr,9)</f>
        <v>0</v>
      </c>
      <c r="CP244" s="69">
        <f>INDEX(smp_equity_contr,10)</f>
        <v>0</v>
      </c>
      <c r="CQ244" s="69">
        <f>INDEX(smp_equity_contr,11)</f>
        <v>0</v>
      </c>
      <c r="CR244" s="69">
        <f>INDEX(smp_equity_contr,12)</f>
        <v>0</v>
      </c>
      <c r="CS244" s="69">
        <f>INDEX(smp_equity_contr,13)</f>
        <v>0</v>
      </c>
      <c r="CT244" s="69">
        <f>INDEX(smp_equity_contr,14)</f>
        <v>0</v>
      </c>
      <c r="CU244" s="69">
        <f>INDEX(smp_equity_contr,15)</f>
        <v>0</v>
      </c>
      <c r="CV244" s="69">
        <f>INDEX(smp_equity_contr,16)</f>
        <v>0</v>
      </c>
      <c r="CW244" s="69">
        <f>INDEX(smp_equity_contr,17)</f>
        <v>0</v>
      </c>
      <c r="CX244" s="69">
        <f>INDEX(smp_equity_contr,18)</f>
        <v>0</v>
      </c>
      <c r="CY244" s="69">
        <f>INDEX(smp_equity_contr,19)</f>
        <v>0</v>
      </c>
      <c r="CZ244" s="69">
        <f>INDEX(smp_equity_contr,20)</f>
        <v>0</v>
      </c>
      <c r="DA244" s="69">
        <f>INDEX(smp_equity_contr,21)</f>
        <v>0</v>
      </c>
      <c r="DB244" s="69">
        <f>INDEX(smp_equity_contr,22)</f>
        <v>0</v>
      </c>
      <c r="DC244" s="69">
        <f>INDEX(smp_equity_contr,23)</f>
        <v>0</v>
      </c>
      <c r="DD244" s="69">
        <f>INDEX(smp_equity_contr,24)</f>
        <v>0</v>
      </c>
      <c r="DE244" s="70">
        <f t="shared" si="198"/>
        <v>0</v>
      </c>
      <c r="DF244" s="70">
        <f t="shared" si="199"/>
        <v>0</v>
      </c>
      <c r="DG244"/>
      <c r="DH244"/>
    </row>
    <row r="245" spans="1:112" hidden="1" x14ac:dyDescent="0.2">
      <c r="A245" s="1"/>
      <c r="B245" s="35" t="s">
        <v>167</v>
      </c>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2"/>
      <c r="AE245" s="70">
        <f t="shared" ref="AE245:BB245" si="209">AE241-AE242-AE243+AE244</f>
        <v>-16333</v>
      </c>
      <c r="AF245" s="70">
        <f t="shared" si="209"/>
        <v>-16333</v>
      </c>
      <c r="AG245" s="70">
        <f t="shared" si="209"/>
        <v>-16333</v>
      </c>
      <c r="AH245" s="70">
        <f t="shared" si="209"/>
        <v>-16333</v>
      </c>
      <c r="AI245" s="70">
        <f t="shared" si="209"/>
        <v>-16333</v>
      </c>
      <c r="AJ245" s="70">
        <f t="shared" si="209"/>
        <v>-16333</v>
      </c>
      <c r="AK245" s="70">
        <f t="shared" si="209"/>
        <v>-16333</v>
      </c>
      <c r="AL245" s="70">
        <f t="shared" si="209"/>
        <v>-16333</v>
      </c>
      <c r="AM245" s="70">
        <f t="shared" si="209"/>
        <v>-16333</v>
      </c>
      <c r="AN245" s="70">
        <f t="shared" si="209"/>
        <v>-16333</v>
      </c>
      <c r="AO245" s="70">
        <f t="shared" si="209"/>
        <v>-16333</v>
      </c>
      <c r="AP245" s="70">
        <f t="shared" si="209"/>
        <v>-46333</v>
      </c>
      <c r="AQ245" s="70">
        <f t="shared" si="209"/>
        <v>-16333</v>
      </c>
      <c r="AR245" s="70">
        <f t="shared" si="209"/>
        <v>-16333</v>
      </c>
      <c r="AS245" s="70">
        <f t="shared" si="209"/>
        <v>-16333</v>
      </c>
      <c r="AT245" s="70">
        <f t="shared" si="209"/>
        <v>-16333</v>
      </c>
      <c r="AU245" s="70">
        <f t="shared" si="209"/>
        <v>-16333</v>
      </c>
      <c r="AV245" s="70">
        <f t="shared" si="209"/>
        <v>-16333</v>
      </c>
      <c r="AW245" s="70">
        <f t="shared" si="209"/>
        <v>-16333</v>
      </c>
      <c r="AX245" s="70">
        <f t="shared" si="209"/>
        <v>-16333</v>
      </c>
      <c r="AY245" s="70">
        <f t="shared" si="209"/>
        <v>-16333</v>
      </c>
      <c r="AZ245" s="70">
        <f t="shared" si="209"/>
        <v>-16333</v>
      </c>
      <c r="BA245" s="70">
        <f t="shared" si="209"/>
        <v>-16333</v>
      </c>
      <c r="BB245" s="70">
        <f t="shared" si="209"/>
        <v>-50333</v>
      </c>
      <c r="BC245" s="70">
        <f t="shared" si="192"/>
        <v>-225996</v>
      </c>
      <c r="BD245" s="70">
        <f t="shared" si="193"/>
        <v>-229996</v>
      </c>
      <c r="BE245" s="2"/>
      <c r="BF245" s="70">
        <f t="shared" ref="BF245:CC245" si="210">BF241-BF242-BF243+BF244</f>
        <v>-16333</v>
      </c>
      <c r="BG245" s="70">
        <f t="shared" si="210"/>
        <v>-16333</v>
      </c>
      <c r="BH245" s="70">
        <f t="shared" si="210"/>
        <v>-16333</v>
      </c>
      <c r="BI245" s="70">
        <f t="shared" si="210"/>
        <v>-16333</v>
      </c>
      <c r="BJ245" s="70">
        <f t="shared" si="210"/>
        <v>-16333</v>
      </c>
      <c r="BK245" s="70">
        <f t="shared" si="210"/>
        <v>-16333</v>
      </c>
      <c r="BL245" s="70">
        <f t="shared" si="210"/>
        <v>-16333</v>
      </c>
      <c r="BM245" s="70">
        <f t="shared" si="210"/>
        <v>-16333</v>
      </c>
      <c r="BN245" s="70">
        <f t="shared" si="210"/>
        <v>-16333</v>
      </c>
      <c r="BO245" s="70">
        <f t="shared" si="210"/>
        <v>-16333</v>
      </c>
      <c r="BP245" s="70">
        <f t="shared" si="210"/>
        <v>-16333</v>
      </c>
      <c r="BQ245" s="70">
        <f t="shared" si="210"/>
        <v>-46333</v>
      </c>
      <c r="BR245" s="70">
        <f t="shared" si="210"/>
        <v>-16333</v>
      </c>
      <c r="BS245" s="70">
        <f t="shared" si="210"/>
        <v>-16333</v>
      </c>
      <c r="BT245" s="70">
        <f t="shared" si="210"/>
        <v>-16333</v>
      </c>
      <c r="BU245" s="70">
        <f t="shared" si="210"/>
        <v>-16333</v>
      </c>
      <c r="BV245" s="70">
        <f t="shared" si="210"/>
        <v>-16333</v>
      </c>
      <c r="BW245" s="70">
        <f t="shared" si="210"/>
        <v>-16333</v>
      </c>
      <c r="BX245" s="70">
        <f t="shared" si="210"/>
        <v>-16333</v>
      </c>
      <c r="BY245" s="70">
        <f t="shared" si="210"/>
        <v>-16333</v>
      </c>
      <c r="BZ245" s="70">
        <f t="shared" si="210"/>
        <v>-16333</v>
      </c>
      <c r="CA245" s="70">
        <f t="shared" si="210"/>
        <v>-16333</v>
      </c>
      <c r="CB245" s="70">
        <f t="shared" si="210"/>
        <v>-16333</v>
      </c>
      <c r="CC245" s="70">
        <f t="shared" si="210"/>
        <v>-50333</v>
      </c>
      <c r="CD245" s="70">
        <f t="shared" si="195"/>
        <v>-225996</v>
      </c>
      <c r="CE245" s="70">
        <f t="shared" si="196"/>
        <v>-229996</v>
      </c>
      <c r="CF245" s="2"/>
      <c r="CG245" s="70">
        <f t="shared" ref="CG245:DD245" si="211">CG241-CG242-CG243+CG244</f>
        <v>-16333</v>
      </c>
      <c r="CH245" s="70">
        <f t="shared" si="211"/>
        <v>-16333</v>
      </c>
      <c r="CI245" s="70">
        <f t="shared" si="211"/>
        <v>-16333</v>
      </c>
      <c r="CJ245" s="70">
        <f t="shared" si="211"/>
        <v>-16333</v>
      </c>
      <c r="CK245" s="70">
        <f t="shared" si="211"/>
        <v>-16333</v>
      </c>
      <c r="CL245" s="70">
        <f t="shared" si="211"/>
        <v>-16333</v>
      </c>
      <c r="CM245" s="70">
        <f t="shared" si="211"/>
        <v>-16333</v>
      </c>
      <c r="CN245" s="70">
        <f t="shared" si="211"/>
        <v>-16333</v>
      </c>
      <c r="CO245" s="70">
        <f t="shared" si="211"/>
        <v>-16333</v>
      </c>
      <c r="CP245" s="70">
        <f t="shared" si="211"/>
        <v>-16333</v>
      </c>
      <c r="CQ245" s="70">
        <f t="shared" si="211"/>
        <v>-16333</v>
      </c>
      <c r="CR245" s="70">
        <f t="shared" si="211"/>
        <v>-46333</v>
      </c>
      <c r="CS245" s="70">
        <f t="shared" si="211"/>
        <v>-16333</v>
      </c>
      <c r="CT245" s="70">
        <f t="shared" si="211"/>
        <v>-16333</v>
      </c>
      <c r="CU245" s="70">
        <f t="shared" si="211"/>
        <v>-16333</v>
      </c>
      <c r="CV245" s="70">
        <f t="shared" si="211"/>
        <v>-16333</v>
      </c>
      <c r="CW245" s="70">
        <f t="shared" si="211"/>
        <v>-16333</v>
      </c>
      <c r="CX245" s="70">
        <f t="shared" si="211"/>
        <v>-16333</v>
      </c>
      <c r="CY245" s="70">
        <f t="shared" si="211"/>
        <v>-16333</v>
      </c>
      <c r="CZ245" s="70">
        <f t="shared" si="211"/>
        <v>-16333</v>
      </c>
      <c r="DA245" s="70">
        <f t="shared" si="211"/>
        <v>-16333</v>
      </c>
      <c r="DB245" s="70">
        <f t="shared" si="211"/>
        <v>-16333</v>
      </c>
      <c r="DC245" s="70">
        <f t="shared" si="211"/>
        <v>-16333</v>
      </c>
      <c r="DD245" s="70">
        <f t="shared" si="211"/>
        <v>-50333</v>
      </c>
      <c r="DE245" s="70">
        <f t="shared" si="198"/>
        <v>-225996</v>
      </c>
      <c r="DF245" s="70">
        <f t="shared" si="199"/>
        <v>-229996</v>
      </c>
      <c r="DG245"/>
      <c r="DH245"/>
    </row>
    <row r="246" spans="1:112" hidden="1" x14ac:dyDescent="0.2">
      <c r="A246" s="1"/>
      <c r="B246" s="35" t="s">
        <v>168</v>
      </c>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2"/>
      <c r="AE246" s="70">
        <f t="shared" ref="AE246:BB246" si="212">AE238+AE240+AE245</f>
        <v>-21751.333333333314</v>
      </c>
      <c r="AF246" s="70">
        <f t="shared" si="212"/>
        <v>-3425.6412499999897</v>
      </c>
      <c r="AG246" s="70">
        <f t="shared" si="212"/>
        <v>-31085.282499999921</v>
      </c>
      <c r="AH246" s="70">
        <f t="shared" si="212"/>
        <v>-27001.320260416695</v>
      </c>
      <c r="AI246" s="70">
        <f t="shared" si="212"/>
        <v>25299.435000000012</v>
      </c>
      <c r="AJ246" s="70">
        <f t="shared" si="212"/>
        <v>50202.46041666664</v>
      </c>
      <c r="AK246" s="70">
        <f t="shared" si="212"/>
        <v>48893.48583333334</v>
      </c>
      <c r="AL246" s="70">
        <f t="shared" si="212"/>
        <v>-703.21859374998166</v>
      </c>
      <c r="AM246" s="70">
        <f t="shared" si="212"/>
        <v>28993.536666666761</v>
      </c>
      <c r="AN246" s="70">
        <f t="shared" si="212"/>
        <v>-2647.8344270833404</v>
      </c>
      <c r="AO246" s="70">
        <f t="shared" si="212"/>
        <v>31405.587499999921</v>
      </c>
      <c r="AP246" s="70">
        <f t="shared" si="212"/>
        <v>36250.612916666767</v>
      </c>
      <c r="AQ246" s="70">
        <f t="shared" si="212"/>
        <v>67582.97166666665</v>
      </c>
      <c r="AR246" s="70">
        <f t="shared" si="212"/>
        <v>57409.997083333379</v>
      </c>
      <c r="AS246" s="70">
        <f t="shared" si="212"/>
        <v>65609.022499999948</v>
      </c>
      <c r="AT246" s="70">
        <f t="shared" si="212"/>
        <v>-35722.369010416602</v>
      </c>
      <c r="AU246" s="70">
        <f t="shared" si="212"/>
        <v>85722.406666666604</v>
      </c>
      <c r="AV246" s="70">
        <f t="shared" si="212"/>
        <v>102146.09875000009</v>
      </c>
      <c r="AW246" s="70">
        <f t="shared" si="212"/>
        <v>106111.79083333336</v>
      </c>
      <c r="AX246" s="70">
        <f t="shared" si="212"/>
        <v>14763.732656249951</v>
      </c>
      <c r="AY246" s="70">
        <f t="shared" si="212"/>
        <v>91755.841666666747</v>
      </c>
      <c r="AZ246" s="70">
        <f t="shared" si="212"/>
        <v>14405.783489583308</v>
      </c>
      <c r="BA246" s="70">
        <f t="shared" si="212"/>
        <v>106890.55916666675</v>
      </c>
      <c r="BB246" s="70">
        <f t="shared" si="212"/>
        <v>83732.917916666629</v>
      </c>
      <c r="BC246" s="70">
        <f t="shared" si="192"/>
        <v>134430.48796875018</v>
      </c>
      <c r="BD246" s="70">
        <f t="shared" si="193"/>
        <v>760408.7533854167</v>
      </c>
      <c r="BE246" s="2"/>
      <c r="BF246" s="70">
        <f t="shared" ref="BF246:CC246" si="213">BF238+BF240+BF245</f>
        <v>-78994.549999999988</v>
      </c>
      <c r="BG246" s="70">
        <f t="shared" si="213"/>
        <v>-51861.149583333347</v>
      </c>
      <c r="BH246" s="70">
        <f t="shared" si="213"/>
        <v>-81506.000833333295</v>
      </c>
      <c r="BI246" s="70">
        <f t="shared" si="213"/>
        <v>-43289.297395833382</v>
      </c>
      <c r="BJ246" s="70">
        <f t="shared" si="213"/>
        <v>-28209.283333333311</v>
      </c>
      <c r="BK246" s="70">
        <f t="shared" si="213"/>
        <v>-1512.2212500000514</v>
      </c>
      <c r="BL246" s="70">
        <f t="shared" si="213"/>
        <v>-2167.2524999999405</v>
      </c>
      <c r="BM246" s="70">
        <f t="shared" si="213"/>
        <v>-16512.852395833332</v>
      </c>
      <c r="BN246" s="70">
        <f t="shared" si="213"/>
        <v>-25351.299999999934</v>
      </c>
      <c r="BO246" s="70">
        <f t="shared" si="213"/>
        <v>-22763.256562500013</v>
      </c>
      <c r="BP246" s="70">
        <f t="shared" si="213"/>
        <v>-25386.712500000038</v>
      </c>
      <c r="BQ246" s="70">
        <f t="shared" si="213"/>
        <v>-20029.69875</v>
      </c>
      <c r="BR246" s="70">
        <f t="shared" si="213"/>
        <v>11405.901666666679</v>
      </c>
      <c r="BS246" s="70">
        <f t="shared" si="213"/>
        <v>-1251.0162500000115</v>
      </c>
      <c r="BT246" s="70">
        <f t="shared" si="213"/>
        <v>5477.9591666666383</v>
      </c>
      <c r="BU246" s="70">
        <f t="shared" si="213"/>
        <v>-51830.282239583328</v>
      </c>
      <c r="BV246" s="70">
        <f t="shared" si="213"/>
        <v>22868.519999999953</v>
      </c>
      <c r="BW246" s="70">
        <f t="shared" si="213"/>
        <v>40199.460416666712</v>
      </c>
      <c r="BX246" s="70">
        <f t="shared" si="213"/>
        <v>45066.227499999986</v>
      </c>
      <c r="BY246" s="70">
        <f t="shared" si="213"/>
        <v>-1072.9305729167172</v>
      </c>
      <c r="BZ246" s="70">
        <f t="shared" si="213"/>
        <v>28518.300000000076</v>
      </c>
      <c r="CA246" s="70">
        <f t="shared" si="213"/>
        <v>-3952.2347395833567</v>
      </c>
      <c r="CB246" s="70">
        <f t="shared" si="213"/>
        <v>42467.267499999922</v>
      </c>
      <c r="CC246" s="70">
        <f t="shared" si="213"/>
        <v>20495.001250000059</v>
      </c>
      <c r="CD246" s="70">
        <f t="shared" si="195"/>
        <v>-397583.57510416664</v>
      </c>
      <c r="CE246" s="70">
        <f t="shared" si="196"/>
        <v>158392.17369791662</v>
      </c>
      <c r="CF246" s="2"/>
      <c r="CG246" s="70">
        <f t="shared" ref="CG246:DD246" si="214">CG238+CG240+CG245</f>
        <v>16927.203333333338</v>
      </c>
      <c r="CH246" s="70">
        <f t="shared" si="214"/>
        <v>25525.478750000002</v>
      </c>
      <c r="CI246" s="70">
        <f t="shared" si="214"/>
        <v>-852.24516666671116</v>
      </c>
      <c r="CJ246" s="70">
        <f t="shared" si="214"/>
        <v>-18976.893927083394</v>
      </c>
      <c r="CK246" s="70">
        <f t="shared" si="214"/>
        <v>57511.73900000006</v>
      </c>
      <c r="CL246" s="70">
        <f t="shared" si="214"/>
        <v>81173.449750000073</v>
      </c>
      <c r="CM246" s="70">
        <f t="shared" si="214"/>
        <v>79448.597833333435</v>
      </c>
      <c r="CN246" s="70">
        <f t="shared" si="214"/>
        <v>6957.6204062499964</v>
      </c>
      <c r="CO246" s="70">
        <f t="shared" si="214"/>
        <v>61762.737999999867</v>
      </c>
      <c r="CP246" s="70">
        <f t="shared" si="214"/>
        <v>7848.5532395833361</v>
      </c>
      <c r="CQ246" s="70">
        <f t="shared" si="214"/>
        <v>65723.824166666775</v>
      </c>
      <c r="CR246" s="70">
        <f t="shared" si="214"/>
        <v>70198.804249999972</v>
      </c>
      <c r="CS246" s="70">
        <f t="shared" si="214"/>
        <v>101481.79966666675</v>
      </c>
      <c r="CT246" s="70">
        <f t="shared" si="214"/>
        <v>92949.502416666728</v>
      </c>
      <c r="CU246" s="70">
        <f t="shared" si="214"/>
        <v>102091.4478333334</v>
      </c>
      <c r="CV246" s="70">
        <f t="shared" si="214"/>
        <v>-25868.621427083403</v>
      </c>
      <c r="CW246" s="70">
        <f t="shared" si="214"/>
        <v>123936.54466666677</v>
      </c>
      <c r="CX246" s="70">
        <f t="shared" si="214"/>
        <v>139729.35408333328</v>
      </c>
      <c r="CY246" s="70">
        <f t="shared" si="214"/>
        <v>143098.68283333333</v>
      </c>
      <c r="CZ246" s="70">
        <f t="shared" si="214"/>
        <v>24389.730239583325</v>
      </c>
      <c r="DA246" s="70">
        <f t="shared" si="214"/>
        <v>130237.77499999988</v>
      </c>
      <c r="DB246" s="70">
        <f t="shared" si="214"/>
        <v>25700.423072916703</v>
      </c>
      <c r="DC246" s="70">
        <f t="shared" si="214"/>
        <v>146104.70916666658</v>
      </c>
      <c r="DD246" s="70">
        <f t="shared" si="214"/>
        <v>122140.00125000003</v>
      </c>
      <c r="DE246" s="70">
        <f t="shared" si="198"/>
        <v>453248.86963541672</v>
      </c>
      <c r="DF246" s="70">
        <f t="shared" si="199"/>
        <v>1125991.3488020834</v>
      </c>
      <c r="DG246"/>
      <c r="DH246"/>
    </row>
    <row r="247" spans="1:112" hidden="1" x14ac:dyDescent="0.2">
      <c r="A247" s="1"/>
      <c r="B247" s="35" t="s">
        <v>169</v>
      </c>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2"/>
      <c r="AE247" s="69">
        <f>smp_open_cash</f>
        <v>520000</v>
      </c>
      <c r="AF247" s="69">
        <f t="shared" ref="AF247:BB247" si="215">AE248</f>
        <v>498248.66666666669</v>
      </c>
      <c r="AG247" s="69">
        <f t="shared" si="215"/>
        <v>494823.0254166667</v>
      </c>
      <c r="AH247" s="69">
        <f t="shared" si="215"/>
        <v>463737.74291666679</v>
      </c>
      <c r="AI247" s="69">
        <f t="shared" si="215"/>
        <v>436736.42265625007</v>
      </c>
      <c r="AJ247" s="69">
        <f t="shared" si="215"/>
        <v>462035.85765625007</v>
      </c>
      <c r="AK247" s="69">
        <f t="shared" si="215"/>
        <v>512238.31807291671</v>
      </c>
      <c r="AL247" s="69">
        <f t="shared" si="215"/>
        <v>561131.80390625005</v>
      </c>
      <c r="AM247" s="69">
        <f t="shared" si="215"/>
        <v>560428.58531250001</v>
      </c>
      <c r="AN247" s="69">
        <f t="shared" si="215"/>
        <v>589422.12197916675</v>
      </c>
      <c r="AO247" s="69">
        <f t="shared" si="215"/>
        <v>586774.28755208338</v>
      </c>
      <c r="AP247" s="69">
        <f t="shared" si="215"/>
        <v>618179.87505208328</v>
      </c>
      <c r="AQ247" s="69">
        <f t="shared" si="215"/>
        <v>654430.48796875007</v>
      </c>
      <c r="AR247" s="69">
        <f t="shared" si="215"/>
        <v>722013.45963541674</v>
      </c>
      <c r="AS247" s="69">
        <f t="shared" si="215"/>
        <v>779423.45671875007</v>
      </c>
      <c r="AT247" s="69">
        <f t="shared" si="215"/>
        <v>845032.47921875003</v>
      </c>
      <c r="AU247" s="69">
        <f t="shared" si="215"/>
        <v>809310.11020833347</v>
      </c>
      <c r="AV247" s="69">
        <f t="shared" si="215"/>
        <v>895032.51687500009</v>
      </c>
      <c r="AW247" s="69">
        <f t="shared" si="215"/>
        <v>997178.61562500021</v>
      </c>
      <c r="AX247" s="69">
        <f t="shared" si="215"/>
        <v>1103290.4064583336</v>
      </c>
      <c r="AY247" s="69">
        <f t="shared" si="215"/>
        <v>1118054.1391145836</v>
      </c>
      <c r="AZ247" s="69">
        <f t="shared" si="215"/>
        <v>1209809.9807812504</v>
      </c>
      <c r="BA247" s="69">
        <f t="shared" si="215"/>
        <v>1224215.7642708337</v>
      </c>
      <c r="BB247" s="69">
        <f t="shared" si="215"/>
        <v>1331106.3234375005</v>
      </c>
      <c r="BC247" s="70">
        <f t="shared" ref="BC247:BC270" si="216">AP247</f>
        <v>618179.87505208328</v>
      </c>
      <c r="BD247" s="70">
        <f t="shared" ref="BD247:BD270" si="217">BB247</f>
        <v>1331106.3234375005</v>
      </c>
      <c r="BE247" s="2"/>
      <c r="BF247" s="69">
        <f>smp_open_cash</f>
        <v>520000</v>
      </c>
      <c r="BG247" s="69">
        <f t="shared" ref="BG247:CC247" si="218">BF248</f>
        <v>441005.45</v>
      </c>
      <c r="BH247" s="69">
        <f t="shared" si="218"/>
        <v>389144.30041666667</v>
      </c>
      <c r="BI247" s="69">
        <f t="shared" si="218"/>
        <v>307638.29958333337</v>
      </c>
      <c r="BJ247" s="69">
        <f t="shared" si="218"/>
        <v>264349.00218750001</v>
      </c>
      <c r="BK247" s="69">
        <f t="shared" si="218"/>
        <v>236139.71885416668</v>
      </c>
      <c r="BL247" s="69">
        <f t="shared" si="218"/>
        <v>234627.49760416662</v>
      </c>
      <c r="BM247" s="69">
        <f t="shared" si="218"/>
        <v>232460.24510416668</v>
      </c>
      <c r="BN247" s="69">
        <f t="shared" si="218"/>
        <v>215947.39270833335</v>
      </c>
      <c r="BO247" s="69">
        <f t="shared" si="218"/>
        <v>190596.09270833342</v>
      </c>
      <c r="BP247" s="69">
        <f t="shared" si="218"/>
        <v>167832.83614583343</v>
      </c>
      <c r="BQ247" s="69">
        <f t="shared" si="218"/>
        <v>142446.1236458334</v>
      </c>
      <c r="BR247" s="69">
        <f t="shared" si="218"/>
        <v>122416.42489583341</v>
      </c>
      <c r="BS247" s="69">
        <f t="shared" si="218"/>
        <v>133822.32656250009</v>
      </c>
      <c r="BT247" s="69">
        <f t="shared" si="218"/>
        <v>132571.31031250008</v>
      </c>
      <c r="BU247" s="69">
        <f t="shared" si="218"/>
        <v>138049.26947916672</v>
      </c>
      <c r="BV247" s="69">
        <f t="shared" si="218"/>
        <v>86218.987239583395</v>
      </c>
      <c r="BW247" s="69">
        <f t="shared" si="218"/>
        <v>109087.50723958336</v>
      </c>
      <c r="BX247" s="69">
        <f t="shared" si="218"/>
        <v>149286.96765625005</v>
      </c>
      <c r="BY247" s="69">
        <f t="shared" si="218"/>
        <v>194353.19515625003</v>
      </c>
      <c r="BZ247" s="69">
        <f t="shared" si="218"/>
        <v>193280.26458333331</v>
      </c>
      <c r="CA247" s="69">
        <f t="shared" si="218"/>
        <v>221798.56458333338</v>
      </c>
      <c r="CB247" s="69">
        <f t="shared" si="218"/>
        <v>217846.32984375002</v>
      </c>
      <c r="CC247" s="69">
        <f t="shared" si="218"/>
        <v>260313.59734374995</v>
      </c>
      <c r="CD247" s="70">
        <f t="shared" ref="CD247:CD270" si="219">BQ247</f>
        <v>142446.1236458334</v>
      </c>
      <c r="CE247" s="70">
        <f t="shared" ref="CE247:CE270" si="220">CC247</f>
        <v>260313.59734374995</v>
      </c>
      <c r="CF247" s="2"/>
      <c r="CG247" s="69">
        <f>smp_open_cash</f>
        <v>520000</v>
      </c>
      <c r="CH247" s="69">
        <f t="shared" ref="CH247:DD247" si="221">CG248</f>
        <v>536927.20333333337</v>
      </c>
      <c r="CI247" s="69">
        <f t="shared" si="221"/>
        <v>562452.68208333338</v>
      </c>
      <c r="CJ247" s="69">
        <f t="shared" si="221"/>
        <v>561600.43691666669</v>
      </c>
      <c r="CK247" s="69">
        <f t="shared" si="221"/>
        <v>542623.54298958334</v>
      </c>
      <c r="CL247" s="69">
        <f t="shared" si="221"/>
        <v>600135.2819895834</v>
      </c>
      <c r="CM247" s="69">
        <f t="shared" si="221"/>
        <v>681308.73173958343</v>
      </c>
      <c r="CN247" s="69">
        <f t="shared" si="221"/>
        <v>760757.32957291685</v>
      </c>
      <c r="CO247" s="69">
        <f t="shared" si="221"/>
        <v>767714.94997916685</v>
      </c>
      <c r="CP247" s="69">
        <f t="shared" si="221"/>
        <v>829477.68797916675</v>
      </c>
      <c r="CQ247" s="69">
        <f t="shared" si="221"/>
        <v>837326.24121875013</v>
      </c>
      <c r="CR247" s="69">
        <f t="shared" si="221"/>
        <v>903050.06538541685</v>
      </c>
      <c r="CS247" s="69">
        <f t="shared" si="221"/>
        <v>973248.86963541678</v>
      </c>
      <c r="CT247" s="69">
        <f t="shared" si="221"/>
        <v>1074730.6693020836</v>
      </c>
      <c r="CU247" s="69">
        <f t="shared" si="221"/>
        <v>1167680.1717187504</v>
      </c>
      <c r="CV247" s="69">
        <f t="shared" si="221"/>
        <v>1269771.6195520838</v>
      </c>
      <c r="CW247" s="69">
        <f t="shared" si="221"/>
        <v>1243902.9981250004</v>
      </c>
      <c r="CX247" s="69">
        <f t="shared" si="221"/>
        <v>1367839.5427916672</v>
      </c>
      <c r="CY247" s="69">
        <f t="shared" si="221"/>
        <v>1507568.8968750006</v>
      </c>
      <c r="CZ247" s="69">
        <f t="shared" si="221"/>
        <v>1650667.5797083338</v>
      </c>
      <c r="DA247" s="69">
        <f t="shared" si="221"/>
        <v>1675057.3099479172</v>
      </c>
      <c r="DB247" s="69">
        <f t="shared" si="221"/>
        <v>1805295.0849479171</v>
      </c>
      <c r="DC247" s="69">
        <f t="shared" si="221"/>
        <v>1830995.5080208338</v>
      </c>
      <c r="DD247" s="69">
        <f t="shared" si="221"/>
        <v>1977100.2171875003</v>
      </c>
      <c r="DE247" s="70">
        <f t="shared" ref="DE247:DE270" si="222">CR247</f>
        <v>903050.06538541685</v>
      </c>
      <c r="DF247" s="70">
        <f t="shared" ref="DF247:DF270" si="223">DD247</f>
        <v>1977100.2171875003</v>
      </c>
      <c r="DG247"/>
      <c r="DH247"/>
    </row>
    <row r="248" spans="1:112" hidden="1" x14ac:dyDescent="0.2">
      <c r="A248" s="1"/>
      <c r="B248" s="35" t="s">
        <v>170</v>
      </c>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2"/>
      <c r="AE248" s="70">
        <f t="shared" ref="AE248:BB248" si="224">AE247+AE246</f>
        <v>498248.66666666669</v>
      </c>
      <c r="AF248" s="70">
        <f t="shared" si="224"/>
        <v>494823.0254166667</v>
      </c>
      <c r="AG248" s="70">
        <f t="shared" si="224"/>
        <v>463737.74291666679</v>
      </c>
      <c r="AH248" s="70">
        <f t="shared" si="224"/>
        <v>436736.42265625007</v>
      </c>
      <c r="AI248" s="70">
        <f t="shared" si="224"/>
        <v>462035.85765625007</v>
      </c>
      <c r="AJ248" s="70">
        <f t="shared" si="224"/>
        <v>512238.31807291671</v>
      </c>
      <c r="AK248" s="70">
        <f t="shared" si="224"/>
        <v>561131.80390625005</v>
      </c>
      <c r="AL248" s="70">
        <f t="shared" si="224"/>
        <v>560428.58531250001</v>
      </c>
      <c r="AM248" s="70">
        <f t="shared" si="224"/>
        <v>589422.12197916675</v>
      </c>
      <c r="AN248" s="70">
        <f t="shared" si="224"/>
        <v>586774.28755208338</v>
      </c>
      <c r="AO248" s="70">
        <f t="shared" si="224"/>
        <v>618179.87505208328</v>
      </c>
      <c r="AP248" s="70">
        <f t="shared" si="224"/>
        <v>654430.48796875007</v>
      </c>
      <c r="AQ248" s="70">
        <f t="shared" si="224"/>
        <v>722013.45963541674</v>
      </c>
      <c r="AR248" s="70">
        <f t="shared" si="224"/>
        <v>779423.45671875007</v>
      </c>
      <c r="AS248" s="70">
        <f t="shared" si="224"/>
        <v>845032.47921875003</v>
      </c>
      <c r="AT248" s="70">
        <f t="shared" si="224"/>
        <v>809310.11020833347</v>
      </c>
      <c r="AU248" s="70">
        <f t="shared" si="224"/>
        <v>895032.51687500009</v>
      </c>
      <c r="AV248" s="70">
        <f t="shared" si="224"/>
        <v>997178.61562500021</v>
      </c>
      <c r="AW248" s="70">
        <f t="shared" si="224"/>
        <v>1103290.4064583336</v>
      </c>
      <c r="AX248" s="70">
        <f t="shared" si="224"/>
        <v>1118054.1391145836</v>
      </c>
      <c r="AY248" s="70">
        <f t="shared" si="224"/>
        <v>1209809.9807812504</v>
      </c>
      <c r="AZ248" s="70">
        <f t="shared" si="224"/>
        <v>1224215.7642708337</v>
      </c>
      <c r="BA248" s="70">
        <f t="shared" si="224"/>
        <v>1331106.3234375005</v>
      </c>
      <c r="BB248" s="70">
        <f t="shared" si="224"/>
        <v>1414839.2413541672</v>
      </c>
      <c r="BC248" s="70">
        <f t="shared" si="216"/>
        <v>654430.48796875007</v>
      </c>
      <c r="BD248" s="70">
        <f t="shared" si="217"/>
        <v>1414839.2413541672</v>
      </c>
      <c r="BE248" s="2"/>
      <c r="BF248" s="70">
        <f t="shared" ref="BF248:CC248" si="225">BF247+BF246</f>
        <v>441005.45</v>
      </c>
      <c r="BG248" s="70">
        <f t="shared" si="225"/>
        <v>389144.30041666667</v>
      </c>
      <c r="BH248" s="70">
        <f t="shared" si="225"/>
        <v>307638.29958333337</v>
      </c>
      <c r="BI248" s="70">
        <f t="shared" si="225"/>
        <v>264349.00218750001</v>
      </c>
      <c r="BJ248" s="70">
        <f t="shared" si="225"/>
        <v>236139.71885416668</v>
      </c>
      <c r="BK248" s="70">
        <f t="shared" si="225"/>
        <v>234627.49760416662</v>
      </c>
      <c r="BL248" s="70">
        <f t="shared" si="225"/>
        <v>232460.24510416668</v>
      </c>
      <c r="BM248" s="70">
        <f t="shared" si="225"/>
        <v>215947.39270833335</v>
      </c>
      <c r="BN248" s="70">
        <f t="shared" si="225"/>
        <v>190596.09270833342</v>
      </c>
      <c r="BO248" s="70">
        <f t="shared" si="225"/>
        <v>167832.83614583343</v>
      </c>
      <c r="BP248" s="70">
        <f t="shared" si="225"/>
        <v>142446.1236458334</v>
      </c>
      <c r="BQ248" s="70">
        <f t="shared" si="225"/>
        <v>122416.42489583341</v>
      </c>
      <c r="BR248" s="70">
        <f t="shared" si="225"/>
        <v>133822.32656250009</v>
      </c>
      <c r="BS248" s="70">
        <f t="shared" si="225"/>
        <v>132571.31031250008</v>
      </c>
      <c r="BT248" s="70">
        <f t="shared" si="225"/>
        <v>138049.26947916672</v>
      </c>
      <c r="BU248" s="70">
        <f t="shared" si="225"/>
        <v>86218.987239583395</v>
      </c>
      <c r="BV248" s="70">
        <f t="shared" si="225"/>
        <v>109087.50723958336</v>
      </c>
      <c r="BW248" s="70">
        <f t="shared" si="225"/>
        <v>149286.96765625005</v>
      </c>
      <c r="BX248" s="70">
        <f t="shared" si="225"/>
        <v>194353.19515625003</v>
      </c>
      <c r="BY248" s="70">
        <f t="shared" si="225"/>
        <v>193280.26458333331</v>
      </c>
      <c r="BZ248" s="70">
        <f t="shared" si="225"/>
        <v>221798.56458333338</v>
      </c>
      <c r="CA248" s="70">
        <f t="shared" si="225"/>
        <v>217846.32984375002</v>
      </c>
      <c r="CB248" s="70">
        <f t="shared" si="225"/>
        <v>260313.59734374995</v>
      </c>
      <c r="CC248" s="70">
        <f t="shared" si="225"/>
        <v>280808.59859375004</v>
      </c>
      <c r="CD248" s="70">
        <f t="shared" si="219"/>
        <v>122416.42489583341</v>
      </c>
      <c r="CE248" s="70">
        <f t="shared" si="220"/>
        <v>280808.59859375004</v>
      </c>
      <c r="CF248" s="2"/>
      <c r="CG248" s="70">
        <f t="shared" ref="CG248:DD248" si="226">CG247+CG246</f>
        <v>536927.20333333337</v>
      </c>
      <c r="CH248" s="70">
        <f t="shared" si="226"/>
        <v>562452.68208333338</v>
      </c>
      <c r="CI248" s="70">
        <f t="shared" si="226"/>
        <v>561600.43691666669</v>
      </c>
      <c r="CJ248" s="70">
        <f t="shared" si="226"/>
        <v>542623.54298958334</v>
      </c>
      <c r="CK248" s="70">
        <f t="shared" si="226"/>
        <v>600135.2819895834</v>
      </c>
      <c r="CL248" s="70">
        <f t="shared" si="226"/>
        <v>681308.73173958343</v>
      </c>
      <c r="CM248" s="70">
        <f t="shared" si="226"/>
        <v>760757.32957291685</v>
      </c>
      <c r="CN248" s="70">
        <f t="shared" si="226"/>
        <v>767714.94997916685</v>
      </c>
      <c r="CO248" s="70">
        <f t="shared" si="226"/>
        <v>829477.68797916675</v>
      </c>
      <c r="CP248" s="70">
        <f t="shared" si="226"/>
        <v>837326.24121875013</v>
      </c>
      <c r="CQ248" s="70">
        <f t="shared" si="226"/>
        <v>903050.06538541685</v>
      </c>
      <c r="CR248" s="70">
        <f t="shared" si="226"/>
        <v>973248.86963541678</v>
      </c>
      <c r="CS248" s="70">
        <f t="shared" si="226"/>
        <v>1074730.6693020836</v>
      </c>
      <c r="CT248" s="70">
        <f t="shared" si="226"/>
        <v>1167680.1717187504</v>
      </c>
      <c r="CU248" s="70">
        <f t="shared" si="226"/>
        <v>1269771.6195520838</v>
      </c>
      <c r="CV248" s="70">
        <f t="shared" si="226"/>
        <v>1243902.9981250004</v>
      </c>
      <c r="CW248" s="70">
        <f t="shared" si="226"/>
        <v>1367839.5427916672</v>
      </c>
      <c r="CX248" s="70">
        <f t="shared" si="226"/>
        <v>1507568.8968750006</v>
      </c>
      <c r="CY248" s="70">
        <f t="shared" si="226"/>
        <v>1650667.5797083338</v>
      </c>
      <c r="CZ248" s="70">
        <f t="shared" si="226"/>
        <v>1675057.3099479172</v>
      </c>
      <c r="DA248" s="70">
        <f t="shared" si="226"/>
        <v>1805295.0849479171</v>
      </c>
      <c r="DB248" s="70">
        <f t="shared" si="226"/>
        <v>1830995.5080208338</v>
      </c>
      <c r="DC248" s="70">
        <f t="shared" si="226"/>
        <v>1977100.2171875003</v>
      </c>
      <c r="DD248" s="70">
        <f t="shared" si="226"/>
        <v>2099240.2184375003</v>
      </c>
      <c r="DE248" s="70">
        <f t="shared" si="222"/>
        <v>973248.86963541678</v>
      </c>
      <c r="DF248" s="70">
        <f t="shared" si="223"/>
        <v>2099240.2184375003</v>
      </c>
      <c r="DG248"/>
      <c r="DH248"/>
    </row>
    <row r="249" spans="1:112" hidden="1" x14ac:dyDescent="0.2">
      <c r="A249" s="1"/>
      <c r="B249" s="35" t="s">
        <v>171</v>
      </c>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2"/>
      <c r="AE249" s="69">
        <f t="shared" ref="AE249:BB249" si="227">AE248</f>
        <v>498248.66666666669</v>
      </c>
      <c r="AF249" s="69">
        <f t="shared" si="227"/>
        <v>494823.0254166667</v>
      </c>
      <c r="AG249" s="69">
        <f t="shared" si="227"/>
        <v>463737.74291666679</v>
      </c>
      <c r="AH249" s="69">
        <f t="shared" si="227"/>
        <v>436736.42265625007</v>
      </c>
      <c r="AI249" s="69">
        <f t="shared" si="227"/>
        <v>462035.85765625007</v>
      </c>
      <c r="AJ249" s="69">
        <f t="shared" si="227"/>
        <v>512238.31807291671</v>
      </c>
      <c r="AK249" s="69">
        <f t="shared" si="227"/>
        <v>561131.80390625005</v>
      </c>
      <c r="AL249" s="69">
        <f t="shared" si="227"/>
        <v>560428.58531250001</v>
      </c>
      <c r="AM249" s="69">
        <f t="shared" si="227"/>
        <v>589422.12197916675</v>
      </c>
      <c r="AN249" s="69">
        <f t="shared" si="227"/>
        <v>586774.28755208338</v>
      </c>
      <c r="AO249" s="69">
        <f t="shared" si="227"/>
        <v>618179.87505208328</v>
      </c>
      <c r="AP249" s="69">
        <f t="shared" si="227"/>
        <v>654430.48796875007</v>
      </c>
      <c r="AQ249" s="69">
        <f t="shared" si="227"/>
        <v>722013.45963541674</v>
      </c>
      <c r="AR249" s="69">
        <f t="shared" si="227"/>
        <v>779423.45671875007</v>
      </c>
      <c r="AS249" s="69">
        <f t="shared" si="227"/>
        <v>845032.47921875003</v>
      </c>
      <c r="AT249" s="69">
        <f t="shared" si="227"/>
        <v>809310.11020833347</v>
      </c>
      <c r="AU249" s="69">
        <f t="shared" si="227"/>
        <v>895032.51687500009</v>
      </c>
      <c r="AV249" s="69">
        <f t="shared" si="227"/>
        <v>997178.61562500021</v>
      </c>
      <c r="AW249" s="69">
        <f t="shared" si="227"/>
        <v>1103290.4064583336</v>
      </c>
      <c r="AX249" s="69">
        <f t="shared" si="227"/>
        <v>1118054.1391145836</v>
      </c>
      <c r="AY249" s="69">
        <f t="shared" si="227"/>
        <v>1209809.9807812504</v>
      </c>
      <c r="AZ249" s="69">
        <f t="shared" si="227"/>
        <v>1224215.7642708337</v>
      </c>
      <c r="BA249" s="69">
        <f t="shared" si="227"/>
        <v>1331106.3234375005</v>
      </c>
      <c r="BB249" s="69">
        <f t="shared" si="227"/>
        <v>1414839.2413541672</v>
      </c>
      <c r="BC249" s="70">
        <f t="shared" si="216"/>
        <v>654430.48796875007</v>
      </c>
      <c r="BD249" s="70">
        <f t="shared" si="217"/>
        <v>1414839.2413541672</v>
      </c>
      <c r="BE249" s="2"/>
      <c r="BF249" s="69">
        <f t="shared" ref="BF249:CC249" si="228">BF248</f>
        <v>441005.45</v>
      </c>
      <c r="BG249" s="69">
        <f t="shared" si="228"/>
        <v>389144.30041666667</v>
      </c>
      <c r="BH249" s="69">
        <f t="shared" si="228"/>
        <v>307638.29958333337</v>
      </c>
      <c r="BI249" s="69">
        <f t="shared" si="228"/>
        <v>264349.00218750001</v>
      </c>
      <c r="BJ249" s="69">
        <f t="shared" si="228"/>
        <v>236139.71885416668</v>
      </c>
      <c r="BK249" s="69">
        <f t="shared" si="228"/>
        <v>234627.49760416662</v>
      </c>
      <c r="BL249" s="69">
        <f t="shared" si="228"/>
        <v>232460.24510416668</v>
      </c>
      <c r="BM249" s="69">
        <f t="shared" si="228"/>
        <v>215947.39270833335</v>
      </c>
      <c r="BN249" s="69">
        <f t="shared" si="228"/>
        <v>190596.09270833342</v>
      </c>
      <c r="BO249" s="69">
        <f t="shared" si="228"/>
        <v>167832.83614583343</v>
      </c>
      <c r="BP249" s="69">
        <f t="shared" si="228"/>
        <v>142446.1236458334</v>
      </c>
      <c r="BQ249" s="69">
        <f t="shared" si="228"/>
        <v>122416.42489583341</v>
      </c>
      <c r="BR249" s="69">
        <f t="shared" si="228"/>
        <v>133822.32656250009</v>
      </c>
      <c r="BS249" s="69">
        <f t="shared" si="228"/>
        <v>132571.31031250008</v>
      </c>
      <c r="BT249" s="69">
        <f t="shared" si="228"/>
        <v>138049.26947916672</v>
      </c>
      <c r="BU249" s="69">
        <f t="shared" si="228"/>
        <v>86218.987239583395</v>
      </c>
      <c r="BV249" s="69">
        <f t="shared" si="228"/>
        <v>109087.50723958336</v>
      </c>
      <c r="BW249" s="69">
        <f t="shared" si="228"/>
        <v>149286.96765625005</v>
      </c>
      <c r="BX249" s="69">
        <f t="shared" si="228"/>
        <v>194353.19515625003</v>
      </c>
      <c r="BY249" s="69">
        <f t="shared" si="228"/>
        <v>193280.26458333331</v>
      </c>
      <c r="BZ249" s="69">
        <f t="shared" si="228"/>
        <v>221798.56458333338</v>
      </c>
      <c r="CA249" s="69">
        <f t="shared" si="228"/>
        <v>217846.32984375002</v>
      </c>
      <c r="CB249" s="69">
        <f t="shared" si="228"/>
        <v>260313.59734374995</v>
      </c>
      <c r="CC249" s="69">
        <f t="shared" si="228"/>
        <v>280808.59859375004</v>
      </c>
      <c r="CD249" s="70">
        <f t="shared" si="219"/>
        <v>122416.42489583341</v>
      </c>
      <c r="CE249" s="70">
        <f t="shared" si="220"/>
        <v>280808.59859375004</v>
      </c>
      <c r="CF249" s="2"/>
      <c r="CG249" s="69">
        <f t="shared" ref="CG249:DD249" si="229">CG248</f>
        <v>536927.20333333337</v>
      </c>
      <c r="CH249" s="69">
        <f t="shared" si="229"/>
        <v>562452.68208333338</v>
      </c>
      <c r="CI249" s="69">
        <f t="shared" si="229"/>
        <v>561600.43691666669</v>
      </c>
      <c r="CJ249" s="69">
        <f t="shared" si="229"/>
        <v>542623.54298958334</v>
      </c>
      <c r="CK249" s="69">
        <f t="shared" si="229"/>
        <v>600135.2819895834</v>
      </c>
      <c r="CL249" s="69">
        <f t="shared" si="229"/>
        <v>681308.73173958343</v>
      </c>
      <c r="CM249" s="69">
        <f t="shared" si="229"/>
        <v>760757.32957291685</v>
      </c>
      <c r="CN249" s="69">
        <f t="shared" si="229"/>
        <v>767714.94997916685</v>
      </c>
      <c r="CO249" s="69">
        <f t="shared" si="229"/>
        <v>829477.68797916675</v>
      </c>
      <c r="CP249" s="69">
        <f t="shared" si="229"/>
        <v>837326.24121875013</v>
      </c>
      <c r="CQ249" s="69">
        <f t="shared" si="229"/>
        <v>903050.06538541685</v>
      </c>
      <c r="CR249" s="69">
        <f t="shared" si="229"/>
        <v>973248.86963541678</v>
      </c>
      <c r="CS249" s="69">
        <f t="shared" si="229"/>
        <v>1074730.6693020836</v>
      </c>
      <c r="CT249" s="69">
        <f t="shared" si="229"/>
        <v>1167680.1717187504</v>
      </c>
      <c r="CU249" s="69">
        <f t="shared" si="229"/>
        <v>1269771.6195520838</v>
      </c>
      <c r="CV249" s="69">
        <f t="shared" si="229"/>
        <v>1243902.9981250004</v>
      </c>
      <c r="CW249" s="69">
        <f t="shared" si="229"/>
        <v>1367839.5427916672</v>
      </c>
      <c r="CX249" s="69">
        <f t="shared" si="229"/>
        <v>1507568.8968750006</v>
      </c>
      <c r="CY249" s="69">
        <f t="shared" si="229"/>
        <v>1650667.5797083338</v>
      </c>
      <c r="CZ249" s="69">
        <f t="shared" si="229"/>
        <v>1675057.3099479172</v>
      </c>
      <c r="DA249" s="69">
        <f t="shared" si="229"/>
        <v>1805295.0849479171</v>
      </c>
      <c r="DB249" s="69">
        <f t="shared" si="229"/>
        <v>1830995.5080208338</v>
      </c>
      <c r="DC249" s="69">
        <f t="shared" si="229"/>
        <v>1977100.2171875003</v>
      </c>
      <c r="DD249" s="69">
        <f t="shared" si="229"/>
        <v>2099240.2184375003</v>
      </c>
      <c r="DE249" s="70">
        <f t="shared" si="222"/>
        <v>973248.86963541678</v>
      </c>
      <c r="DF249" s="70">
        <f t="shared" si="223"/>
        <v>2099240.2184375003</v>
      </c>
      <c r="DG249"/>
      <c r="DH249"/>
    </row>
    <row r="250" spans="1:112" hidden="1" x14ac:dyDescent="0.2">
      <c r="A250" s="1"/>
      <c r="B250" s="35" t="s">
        <v>172</v>
      </c>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2"/>
      <c r="AE250" s="69">
        <f t="shared" ref="AE250:BB250" si="230">AE222</f>
        <v>660000</v>
      </c>
      <c r="AF250" s="69">
        <f t="shared" si="230"/>
        <v>687500</v>
      </c>
      <c r="AG250" s="69">
        <f t="shared" si="230"/>
        <v>718666.66666666663</v>
      </c>
      <c r="AH250" s="69">
        <f t="shared" si="230"/>
        <v>748000</v>
      </c>
      <c r="AI250" s="69">
        <f t="shared" si="230"/>
        <v>775500</v>
      </c>
      <c r="AJ250" s="69">
        <f t="shared" si="230"/>
        <v>766333.33333333337</v>
      </c>
      <c r="AK250" s="69">
        <f t="shared" si="230"/>
        <v>755333.33333333337</v>
      </c>
      <c r="AL250" s="69">
        <f t="shared" si="230"/>
        <v>755333.33333333337</v>
      </c>
      <c r="AM250" s="69">
        <f t="shared" si="230"/>
        <v>784666.66666666663</v>
      </c>
      <c r="AN250" s="69">
        <f t="shared" si="230"/>
        <v>812166.66666666663</v>
      </c>
      <c r="AO250" s="69">
        <f t="shared" si="230"/>
        <v>832333.33333333337</v>
      </c>
      <c r="AP250" s="69">
        <f t="shared" si="230"/>
        <v>834166.66666666663</v>
      </c>
      <c r="AQ250" s="69">
        <f t="shared" si="230"/>
        <v>836000</v>
      </c>
      <c r="AR250" s="69">
        <f t="shared" si="230"/>
        <v>861666.66666666663</v>
      </c>
      <c r="AS250" s="69">
        <f t="shared" si="230"/>
        <v>887333.33333333337</v>
      </c>
      <c r="AT250" s="69">
        <f t="shared" si="230"/>
        <v>916666.66666666663</v>
      </c>
      <c r="AU250" s="69">
        <f t="shared" si="230"/>
        <v>936833.33333333337</v>
      </c>
      <c r="AV250" s="69">
        <f t="shared" si="230"/>
        <v>935000</v>
      </c>
      <c r="AW250" s="69">
        <f t="shared" si="230"/>
        <v>924000</v>
      </c>
      <c r="AX250" s="69">
        <f t="shared" si="230"/>
        <v>925833.33333333337</v>
      </c>
      <c r="AY250" s="69">
        <f t="shared" si="230"/>
        <v>944166.66666666663</v>
      </c>
      <c r="AZ250" s="69">
        <f t="shared" si="230"/>
        <v>962500</v>
      </c>
      <c r="BA250" s="69">
        <f t="shared" si="230"/>
        <v>971666.66666666663</v>
      </c>
      <c r="BB250" s="69">
        <f t="shared" si="230"/>
        <v>962500</v>
      </c>
      <c r="BC250" s="70">
        <f t="shared" si="216"/>
        <v>834166.66666666663</v>
      </c>
      <c r="BD250" s="70">
        <f t="shared" si="217"/>
        <v>962500</v>
      </c>
      <c r="BE250" s="2"/>
      <c r="BF250" s="69">
        <f t="shared" ref="BF250:CC250" si="231">BF222</f>
        <v>714000</v>
      </c>
      <c r="BG250" s="69">
        <f t="shared" si="231"/>
        <v>743750</v>
      </c>
      <c r="BH250" s="69">
        <f t="shared" si="231"/>
        <v>777466.66666666663</v>
      </c>
      <c r="BI250" s="69">
        <f t="shared" si="231"/>
        <v>809200</v>
      </c>
      <c r="BJ250" s="69">
        <f t="shared" si="231"/>
        <v>838950</v>
      </c>
      <c r="BK250" s="69">
        <f t="shared" si="231"/>
        <v>829033.33333333337</v>
      </c>
      <c r="BL250" s="69">
        <f t="shared" si="231"/>
        <v>817133.33333333337</v>
      </c>
      <c r="BM250" s="69">
        <f t="shared" si="231"/>
        <v>817133.33333333337</v>
      </c>
      <c r="BN250" s="69">
        <f t="shared" si="231"/>
        <v>848866.66666666663</v>
      </c>
      <c r="BO250" s="69">
        <f t="shared" si="231"/>
        <v>878616.66666666663</v>
      </c>
      <c r="BP250" s="69">
        <f t="shared" si="231"/>
        <v>900433.33333333337</v>
      </c>
      <c r="BQ250" s="69">
        <f t="shared" si="231"/>
        <v>902416.66666666663</v>
      </c>
      <c r="BR250" s="69">
        <f t="shared" si="231"/>
        <v>904400</v>
      </c>
      <c r="BS250" s="69">
        <f t="shared" si="231"/>
        <v>932166.66666666663</v>
      </c>
      <c r="BT250" s="69">
        <f t="shared" si="231"/>
        <v>959933.33333333337</v>
      </c>
      <c r="BU250" s="69">
        <f t="shared" si="231"/>
        <v>991666.66666666663</v>
      </c>
      <c r="BV250" s="69">
        <f t="shared" si="231"/>
        <v>1013483.3333333334</v>
      </c>
      <c r="BW250" s="69">
        <f t="shared" si="231"/>
        <v>1011500</v>
      </c>
      <c r="BX250" s="69">
        <f t="shared" si="231"/>
        <v>999600</v>
      </c>
      <c r="BY250" s="69">
        <f t="shared" si="231"/>
        <v>1001583.3333333334</v>
      </c>
      <c r="BZ250" s="69">
        <f t="shared" si="231"/>
        <v>1021416.6666666666</v>
      </c>
      <c r="CA250" s="69">
        <f t="shared" si="231"/>
        <v>1041250</v>
      </c>
      <c r="CB250" s="69">
        <f t="shared" si="231"/>
        <v>1051166.6666666667</v>
      </c>
      <c r="CC250" s="69">
        <f t="shared" si="231"/>
        <v>1041250</v>
      </c>
      <c r="CD250" s="70">
        <f t="shared" si="219"/>
        <v>902416.66666666663</v>
      </c>
      <c r="CE250" s="70">
        <f t="shared" si="220"/>
        <v>1041250</v>
      </c>
      <c r="CF250" s="2"/>
      <c r="CG250" s="69">
        <f t="shared" ref="CG250:DD250" si="232">CG222</f>
        <v>627000</v>
      </c>
      <c r="CH250" s="69">
        <f t="shared" si="232"/>
        <v>653125</v>
      </c>
      <c r="CI250" s="69">
        <f t="shared" si="232"/>
        <v>682733.33333333337</v>
      </c>
      <c r="CJ250" s="69">
        <f t="shared" si="232"/>
        <v>710600.00000000012</v>
      </c>
      <c r="CK250" s="69">
        <f t="shared" si="232"/>
        <v>736725.00000000012</v>
      </c>
      <c r="CL250" s="69">
        <f t="shared" si="232"/>
        <v>728016.66666666674</v>
      </c>
      <c r="CM250" s="69">
        <f t="shared" si="232"/>
        <v>717566.66666666663</v>
      </c>
      <c r="CN250" s="69">
        <f t="shared" si="232"/>
        <v>717566.66666666663</v>
      </c>
      <c r="CO250" s="69">
        <f t="shared" si="232"/>
        <v>745433.33333333349</v>
      </c>
      <c r="CP250" s="69">
        <f t="shared" si="232"/>
        <v>771558.33333333349</v>
      </c>
      <c r="CQ250" s="69">
        <f t="shared" si="232"/>
        <v>790716.66666666674</v>
      </c>
      <c r="CR250" s="69">
        <f t="shared" si="232"/>
        <v>792458.33333333349</v>
      </c>
      <c r="CS250" s="69">
        <f t="shared" si="232"/>
        <v>794200.00000000012</v>
      </c>
      <c r="CT250" s="69">
        <f t="shared" si="232"/>
        <v>818583.33333333337</v>
      </c>
      <c r="CU250" s="69">
        <f t="shared" si="232"/>
        <v>842966.66666666663</v>
      </c>
      <c r="CV250" s="69">
        <f t="shared" si="232"/>
        <v>870833.33333333337</v>
      </c>
      <c r="CW250" s="69">
        <f t="shared" si="232"/>
        <v>889991.66666666663</v>
      </c>
      <c r="CX250" s="69">
        <f t="shared" si="232"/>
        <v>888250</v>
      </c>
      <c r="CY250" s="69">
        <f t="shared" si="232"/>
        <v>877800</v>
      </c>
      <c r="CZ250" s="69">
        <f t="shared" si="232"/>
        <v>879541.66666666663</v>
      </c>
      <c r="DA250" s="69">
        <f t="shared" si="232"/>
        <v>896958.33333333337</v>
      </c>
      <c r="DB250" s="69">
        <f t="shared" si="232"/>
        <v>914375</v>
      </c>
      <c r="DC250" s="69">
        <f t="shared" si="232"/>
        <v>923083.33333333337</v>
      </c>
      <c r="DD250" s="69">
        <f t="shared" si="232"/>
        <v>914375</v>
      </c>
      <c r="DE250" s="70">
        <f t="shared" si="222"/>
        <v>792458.33333333349</v>
      </c>
      <c r="DF250" s="70">
        <f t="shared" si="223"/>
        <v>914375</v>
      </c>
      <c r="DG250"/>
      <c r="DH250"/>
    </row>
    <row r="251" spans="1:112" hidden="1" x14ac:dyDescent="0.2">
      <c r="A251" s="1"/>
      <c r="B251" s="35" t="s">
        <v>173</v>
      </c>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2"/>
      <c r="AE251" s="69">
        <f t="shared" ref="AE251:BB251" si="233">AE228</f>
        <v>30000</v>
      </c>
      <c r="AF251" s="69">
        <f t="shared" si="233"/>
        <v>30000</v>
      </c>
      <c r="AG251" s="69">
        <f t="shared" si="233"/>
        <v>30000</v>
      </c>
      <c r="AH251" s="69">
        <f t="shared" si="233"/>
        <v>30000</v>
      </c>
      <c r="AI251" s="69">
        <f t="shared" si="233"/>
        <v>30000</v>
      </c>
      <c r="AJ251" s="69">
        <f t="shared" si="233"/>
        <v>30000</v>
      </c>
      <c r="AK251" s="69">
        <f t="shared" si="233"/>
        <v>30000</v>
      </c>
      <c r="AL251" s="69">
        <f t="shared" si="233"/>
        <v>30000</v>
      </c>
      <c r="AM251" s="69">
        <f t="shared" si="233"/>
        <v>30000</v>
      </c>
      <c r="AN251" s="69">
        <f t="shared" si="233"/>
        <v>30000</v>
      </c>
      <c r="AO251" s="69">
        <f t="shared" si="233"/>
        <v>30000</v>
      </c>
      <c r="AP251" s="69">
        <f t="shared" si="233"/>
        <v>30000</v>
      </c>
      <c r="AQ251" s="69">
        <f t="shared" si="233"/>
        <v>30000</v>
      </c>
      <c r="AR251" s="69">
        <f t="shared" si="233"/>
        <v>30000</v>
      </c>
      <c r="AS251" s="69">
        <f t="shared" si="233"/>
        <v>30000</v>
      </c>
      <c r="AT251" s="69">
        <f t="shared" si="233"/>
        <v>30000</v>
      </c>
      <c r="AU251" s="69">
        <f t="shared" si="233"/>
        <v>30000</v>
      </c>
      <c r="AV251" s="69">
        <f t="shared" si="233"/>
        <v>30000</v>
      </c>
      <c r="AW251" s="69">
        <f t="shared" si="233"/>
        <v>30000</v>
      </c>
      <c r="AX251" s="69">
        <f t="shared" si="233"/>
        <v>30000</v>
      </c>
      <c r="AY251" s="69">
        <f t="shared" si="233"/>
        <v>30000</v>
      </c>
      <c r="AZ251" s="69">
        <f t="shared" si="233"/>
        <v>30000</v>
      </c>
      <c r="BA251" s="69">
        <f t="shared" si="233"/>
        <v>30000</v>
      </c>
      <c r="BB251" s="69">
        <f t="shared" si="233"/>
        <v>30000</v>
      </c>
      <c r="BC251" s="70">
        <f t="shared" si="216"/>
        <v>30000</v>
      </c>
      <c r="BD251" s="70">
        <f t="shared" si="217"/>
        <v>30000</v>
      </c>
      <c r="BE251" s="2"/>
      <c r="BF251" s="69">
        <f t="shared" ref="BF251:CC251" si="234">BF228</f>
        <v>30000</v>
      </c>
      <c r="BG251" s="69">
        <f t="shared" si="234"/>
        <v>30000</v>
      </c>
      <c r="BH251" s="69">
        <f t="shared" si="234"/>
        <v>30000</v>
      </c>
      <c r="BI251" s="69">
        <f t="shared" si="234"/>
        <v>30000</v>
      </c>
      <c r="BJ251" s="69">
        <f t="shared" si="234"/>
        <v>30000</v>
      </c>
      <c r="BK251" s="69">
        <f t="shared" si="234"/>
        <v>30000</v>
      </c>
      <c r="BL251" s="69">
        <f t="shared" si="234"/>
        <v>30000</v>
      </c>
      <c r="BM251" s="69">
        <f t="shared" si="234"/>
        <v>30000</v>
      </c>
      <c r="BN251" s="69">
        <f t="shared" si="234"/>
        <v>30000</v>
      </c>
      <c r="BO251" s="69">
        <f t="shared" si="234"/>
        <v>30000</v>
      </c>
      <c r="BP251" s="69">
        <f t="shared" si="234"/>
        <v>30000</v>
      </c>
      <c r="BQ251" s="69">
        <f t="shared" si="234"/>
        <v>30000</v>
      </c>
      <c r="BR251" s="69">
        <f t="shared" si="234"/>
        <v>30000</v>
      </c>
      <c r="BS251" s="69">
        <f t="shared" si="234"/>
        <v>30000</v>
      </c>
      <c r="BT251" s="69">
        <f t="shared" si="234"/>
        <v>30000</v>
      </c>
      <c r="BU251" s="69">
        <f t="shared" si="234"/>
        <v>30000</v>
      </c>
      <c r="BV251" s="69">
        <f t="shared" si="234"/>
        <v>30000</v>
      </c>
      <c r="BW251" s="69">
        <f t="shared" si="234"/>
        <v>30000</v>
      </c>
      <c r="BX251" s="69">
        <f t="shared" si="234"/>
        <v>30000</v>
      </c>
      <c r="BY251" s="69">
        <f t="shared" si="234"/>
        <v>30000</v>
      </c>
      <c r="BZ251" s="69">
        <f t="shared" si="234"/>
        <v>30000</v>
      </c>
      <c r="CA251" s="69">
        <f t="shared" si="234"/>
        <v>30000</v>
      </c>
      <c r="CB251" s="69">
        <f t="shared" si="234"/>
        <v>30000</v>
      </c>
      <c r="CC251" s="69">
        <f t="shared" si="234"/>
        <v>30000</v>
      </c>
      <c r="CD251" s="70">
        <f t="shared" si="219"/>
        <v>30000</v>
      </c>
      <c r="CE251" s="70">
        <f t="shared" si="220"/>
        <v>30000</v>
      </c>
      <c r="CF251" s="2"/>
      <c r="CG251" s="69">
        <f t="shared" ref="CG251:DD251" si="235">CG228</f>
        <v>30000</v>
      </c>
      <c r="CH251" s="69">
        <f t="shared" si="235"/>
        <v>30000</v>
      </c>
      <c r="CI251" s="69">
        <f t="shared" si="235"/>
        <v>30000</v>
      </c>
      <c r="CJ251" s="69">
        <f t="shared" si="235"/>
        <v>30000</v>
      </c>
      <c r="CK251" s="69">
        <f t="shared" si="235"/>
        <v>30000</v>
      </c>
      <c r="CL251" s="69">
        <f t="shared" si="235"/>
        <v>30000</v>
      </c>
      <c r="CM251" s="69">
        <f t="shared" si="235"/>
        <v>30000</v>
      </c>
      <c r="CN251" s="69">
        <f t="shared" si="235"/>
        <v>30000</v>
      </c>
      <c r="CO251" s="69">
        <f t="shared" si="235"/>
        <v>30000</v>
      </c>
      <c r="CP251" s="69">
        <f t="shared" si="235"/>
        <v>30000</v>
      </c>
      <c r="CQ251" s="69">
        <f t="shared" si="235"/>
        <v>30000</v>
      </c>
      <c r="CR251" s="69">
        <f t="shared" si="235"/>
        <v>30000</v>
      </c>
      <c r="CS251" s="69">
        <f t="shared" si="235"/>
        <v>30000</v>
      </c>
      <c r="CT251" s="69">
        <f t="shared" si="235"/>
        <v>30000</v>
      </c>
      <c r="CU251" s="69">
        <f t="shared" si="235"/>
        <v>30000</v>
      </c>
      <c r="CV251" s="69">
        <f t="shared" si="235"/>
        <v>30000</v>
      </c>
      <c r="CW251" s="69">
        <f t="shared" si="235"/>
        <v>30000</v>
      </c>
      <c r="CX251" s="69">
        <f t="shared" si="235"/>
        <v>30000</v>
      </c>
      <c r="CY251" s="69">
        <f t="shared" si="235"/>
        <v>30000</v>
      </c>
      <c r="CZ251" s="69">
        <f t="shared" si="235"/>
        <v>30000</v>
      </c>
      <c r="DA251" s="69">
        <f t="shared" si="235"/>
        <v>30000</v>
      </c>
      <c r="DB251" s="69">
        <f t="shared" si="235"/>
        <v>30000</v>
      </c>
      <c r="DC251" s="69">
        <f t="shared" si="235"/>
        <v>30000</v>
      </c>
      <c r="DD251" s="69">
        <f t="shared" si="235"/>
        <v>30000</v>
      </c>
      <c r="DE251" s="70">
        <f t="shared" si="222"/>
        <v>30000</v>
      </c>
      <c r="DF251" s="70">
        <f t="shared" si="223"/>
        <v>30000</v>
      </c>
      <c r="DG251"/>
      <c r="DH251"/>
    </row>
    <row r="252" spans="1:112" hidden="1" x14ac:dyDescent="0.2">
      <c r="A252" s="1"/>
      <c r="B252" s="35" t="s">
        <v>174</v>
      </c>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2"/>
      <c r="AE252" s="70">
        <f t="shared" ref="AE252:BB252" si="236">AE249+AE250+AE251</f>
        <v>1188248.6666666667</v>
      </c>
      <c r="AF252" s="70">
        <f t="shared" si="236"/>
        <v>1212323.0254166666</v>
      </c>
      <c r="AG252" s="70">
        <f t="shared" si="236"/>
        <v>1212404.4095833334</v>
      </c>
      <c r="AH252" s="70">
        <f t="shared" si="236"/>
        <v>1214736.4226562502</v>
      </c>
      <c r="AI252" s="70">
        <f t="shared" si="236"/>
        <v>1267535.85765625</v>
      </c>
      <c r="AJ252" s="70">
        <f t="shared" si="236"/>
        <v>1308571.65140625</v>
      </c>
      <c r="AK252" s="70">
        <f t="shared" si="236"/>
        <v>1346465.1372395833</v>
      </c>
      <c r="AL252" s="70">
        <f t="shared" si="236"/>
        <v>1345761.9186458334</v>
      </c>
      <c r="AM252" s="70">
        <f t="shared" si="236"/>
        <v>1404088.7886458333</v>
      </c>
      <c r="AN252" s="70">
        <f t="shared" si="236"/>
        <v>1428940.9542187499</v>
      </c>
      <c r="AO252" s="70">
        <f t="shared" si="236"/>
        <v>1480513.2083854168</v>
      </c>
      <c r="AP252" s="70">
        <f t="shared" si="236"/>
        <v>1518597.1546354168</v>
      </c>
      <c r="AQ252" s="70">
        <f t="shared" si="236"/>
        <v>1588013.4596354167</v>
      </c>
      <c r="AR252" s="70">
        <f t="shared" si="236"/>
        <v>1671090.1233854168</v>
      </c>
      <c r="AS252" s="70">
        <f t="shared" si="236"/>
        <v>1762365.8125520833</v>
      </c>
      <c r="AT252" s="70">
        <f t="shared" si="236"/>
        <v>1755976.776875</v>
      </c>
      <c r="AU252" s="70">
        <f t="shared" si="236"/>
        <v>1861865.8502083335</v>
      </c>
      <c r="AV252" s="70">
        <f t="shared" si="236"/>
        <v>1962178.6156250001</v>
      </c>
      <c r="AW252" s="70">
        <f t="shared" si="236"/>
        <v>2057290.4064583336</v>
      </c>
      <c r="AX252" s="70">
        <f t="shared" si="236"/>
        <v>2073887.4724479169</v>
      </c>
      <c r="AY252" s="70">
        <f t="shared" si="236"/>
        <v>2183976.6474479171</v>
      </c>
      <c r="AZ252" s="70">
        <f t="shared" si="236"/>
        <v>2216715.7642708337</v>
      </c>
      <c r="BA252" s="70">
        <f t="shared" si="236"/>
        <v>2332772.9901041673</v>
      </c>
      <c r="BB252" s="70">
        <f t="shared" si="236"/>
        <v>2407339.2413541675</v>
      </c>
      <c r="BC252" s="70">
        <f t="shared" si="216"/>
        <v>1518597.1546354168</v>
      </c>
      <c r="BD252" s="70">
        <f t="shared" si="217"/>
        <v>2407339.2413541675</v>
      </c>
      <c r="BE252" s="2"/>
      <c r="BF252" s="70">
        <f t="shared" ref="BF252:CC252" si="237">BF249+BF250+BF251</f>
        <v>1185005.45</v>
      </c>
      <c r="BG252" s="70">
        <f t="shared" si="237"/>
        <v>1162894.3004166665</v>
      </c>
      <c r="BH252" s="70">
        <f t="shared" si="237"/>
        <v>1115104.9662500001</v>
      </c>
      <c r="BI252" s="70">
        <f t="shared" si="237"/>
        <v>1103549.0021875</v>
      </c>
      <c r="BJ252" s="70">
        <f t="shared" si="237"/>
        <v>1105089.7188541666</v>
      </c>
      <c r="BK252" s="70">
        <f t="shared" si="237"/>
        <v>1093660.8309375001</v>
      </c>
      <c r="BL252" s="70">
        <f t="shared" si="237"/>
        <v>1079593.5784375002</v>
      </c>
      <c r="BM252" s="70">
        <f t="shared" si="237"/>
        <v>1063080.7260416667</v>
      </c>
      <c r="BN252" s="70">
        <f t="shared" si="237"/>
        <v>1069462.7593749999</v>
      </c>
      <c r="BO252" s="70">
        <f t="shared" si="237"/>
        <v>1076449.5028125001</v>
      </c>
      <c r="BP252" s="70">
        <f t="shared" si="237"/>
        <v>1072879.4569791667</v>
      </c>
      <c r="BQ252" s="70">
        <f t="shared" si="237"/>
        <v>1054833.0915625</v>
      </c>
      <c r="BR252" s="70">
        <f t="shared" si="237"/>
        <v>1068222.3265625001</v>
      </c>
      <c r="BS252" s="70">
        <f t="shared" si="237"/>
        <v>1094737.9769791667</v>
      </c>
      <c r="BT252" s="70">
        <f t="shared" si="237"/>
        <v>1127982.6028125002</v>
      </c>
      <c r="BU252" s="70">
        <f t="shared" si="237"/>
        <v>1107885.6539062499</v>
      </c>
      <c r="BV252" s="70">
        <f t="shared" si="237"/>
        <v>1152570.8405729167</v>
      </c>
      <c r="BW252" s="70">
        <f t="shared" si="237"/>
        <v>1190786.9676562501</v>
      </c>
      <c r="BX252" s="70">
        <f t="shared" si="237"/>
        <v>1223953.1951562501</v>
      </c>
      <c r="BY252" s="70">
        <f t="shared" si="237"/>
        <v>1224863.5979166667</v>
      </c>
      <c r="BZ252" s="70">
        <f t="shared" si="237"/>
        <v>1273215.23125</v>
      </c>
      <c r="CA252" s="70">
        <f t="shared" si="237"/>
        <v>1289096.32984375</v>
      </c>
      <c r="CB252" s="70">
        <f t="shared" si="237"/>
        <v>1341480.2640104168</v>
      </c>
      <c r="CC252" s="70">
        <f t="shared" si="237"/>
        <v>1352058.59859375</v>
      </c>
      <c r="CD252" s="70">
        <f t="shared" si="219"/>
        <v>1054833.0915625</v>
      </c>
      <c r="CE252" s="70">
        <f t="shared" si="220"/>
        <v>1352058.59859375</v>
      </c>
      <c r="CF252" s="2"/>
      <c r="CG252" s="70">
        <f t="shared" ref="CG252:DD252" si="238">CG249+CG250+CG251</f>
        <v>1193927.2033333334</v>
      </c>
      <c r="CH252" s="70">
        <f t="shared" si="238"/>
        <v>1245577.6820833334</v>
      </c>
      <c r="CI252" s="70">
        <f t="shared" si="238"/>
        <v>1274333.7702500001</v>
      </c>
      <c r="CJ252" s="70">
        <f t="shared" si="238"/>
        <v>1283223.5429895835</v>
      </c>
      <c r="CK252" s="70">
        <f t="shared" si="238"/>
        <v>1366860.2819895835</v>
      </c>
      <c r="CL252" s="70">
        <f t="shared" si="238"/>
        <v>1439325.3984062502</v>
      </c>
      <c r="CM252" s="70">
        <f t="shared" si="238"/>
        <v>1508323.9962395835</v>
      </c>
      <c r="CN252" s="70">
        <f t="shared" si="238"/>
        <v>1515281.6166458335</v>
      </c>
      <c r="CO252" s="70">
        <f t="shared" si="238"/>
        <v>1604911.0213125004</v>
      </c>
      <c r="CP252" s="70">
        <f t="shared" si="238"/>
        <v>1638884.5745520836</v>
      </c>
      <c r="CQ252" s="70">
        <f t="shared" si="238"/>
        <v>1723766.7320520836</v>
      </c>
      <c r="CR252" s="70">
        <f t="shared" si="238"/>
        <v>1795707.2029687501</v>
      </c>
      <c r="CS252" s="70">
        <f t="shared" si="238"/>
        <v>1898930.6693020836</v>
      </c>
      <c r="CT252" s="70">
        <f t="shared" si="238"/>
        <v>2016263.5050520836</v>
      </c>
      <c r="CU252" s="70">
        <f t="shared" si="238"/>
        <v>2142738.2862187503</v>
      </c>
      <c r="CV252" s="70">
        <f t="shared" si="238"/>
        <v>2144736.3314583339</v>
      </c>
      <c r="CW252" s="70">
        <f t="shared" si="238"/>
        <v>2287831.2094583339</v>
      </c>
      <c r="CX252" s="70">
        <f t="shared" si="238"/>
        <v>2425818.8968750006</v>
      </c>
      <c r="CY252" s="70">
        <f t="shared" si="238"/>
        <v>2558467.5797083341</v>
      </c>
      <c r="CZ252" s="70">
        <f t="shared" si="238"/>
        <v>2584598.9766145837</v>
      </c>
      <c r="DA252" s="70">
        <f t="shared" si="238"/>
        <v>2732253.4182812506</v>
      </c>
      <c r="DB252" s="70">
        <f t="shared" si="238"/>
        <v>2775370.5080208341</v>
      </c>
      <c r="DC252" s="70">
        <f t="shared" si="238"/>
        <v>2930183.5505208336</v>
      </c>
      <c r="DD252" s="70">
        <f t="shared" si="238"/>
        <v>3043615.2184375003</v>
      </c>
      <c r="DE252" s="70">
        <f t="shared" si="222"/>
        <v>1795707.2029687501</v>
      </c>
      <c r="DF252" s="70">
        <f t="shared" si="223"/>
        <v>3043615.2184375003</v>
      </c>
      <c r="DG252"/>
      <c r="DH252"/>
    </row>
    <row r="253" spans="1:112" hidden="1" x14ac:dyDescent="0.2">
      <c r="A253" s="1"/>
      <c r="B253" s="35" t="s">
        <v>175</v>
      </c>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2"/>
      <c r="AE253" s="69">
        <f>smp_open_fa</f>
        <v>180000</v>
      </c>
      <c r="AF253" s="69">
        <f t="shared" ref="AF253:BB253" si="239">AE254</f>
        <v>177000</v>
      </c>
      <c r="AG253" s="69">
        <f t="shared" si="239"/>
        <v>174000</v>
      </c>
      <c r="AH253" s="69">
        <f t="shared" si="239"/>
        <v>206000</v>
      </c>
      <c r="AI253" s="69">
        <f t="shared" si="239"/>
        <v>203000</v>
      </c>
      <c r="AJ253" s="69">
        <f t="shared" si="239"/>
        <v>200000</v>
      </c>
      <c r="AK253" s="69">
        <f t="shared" si="239"/>
        <v>197000</v>
      </c>
      <c r="AL253" s="69">
        <f t="shared" si="239"/>
        <v>194000</v>
      </c>
      <c r="AM253" s="69">
        <f t="shared" si="239"/>
        <v>191000</v>
      </c>
      <c r="AN253" s="69">
        <f t="shared" si="239"/>
        <v>188000</v>
      </c>
      <c r="AO253" s="69">
        <f t="shared" si="239"/>
        <v>185000</v>
      </c>
      <c r="AP253" s="69">
        <f t="shared" si="239"/>
        <v>202000</v>
      </c>
      <c r="AQ253" s="69">
        <f t="shared" si="239"/>
        <v>199000</v>
      </c>
      <c r="AR253" s="69">
        <f t="shared" si="239"/>
        <v>196000</v>
      </c>
      <c r="AS253" s="69">
        <f t="shared" si="239"/>
        <v>193000</v>
      </c>
      <c r="AT253" s="69">
        <f t="shared" si="239"/>
        <v>190000</v>
      </c>
      <c r="AU253" s="69">
        <f t="shared" si="239"/>
        <v>212000</v>
      </c>
      <c r="AV253" s="69">
        <f t="shared" si="239"/>
        <v>209000</v>
      </c>
      <c r="AW253" s="69">
        <f t="shared" si="239"/>
        <v>206000</v>
      </c>
      <c r="AX253" s="69">
        <f t="shared" si="239"/>
        <v>203000</v>
      </c>
      <c r="AY253" s="69">
        <f t="shared" si="239"/>
        <v>200000</v>
      </c>
      <c r="AZ253" s="69">
        <f t="shared" si="239"/>
        <v>197000</v>
      </c>
      <c r="BA253" s="69">
        <f t="shared" si="239"/>
        <v>194000</v>
      </c>
      <c r="BB253" s="69">
        <f t="shared" si="239"/>
        <v>191000</v>
      </c>
      <c r="BC253" s="70">
        <f t="shared" si="216"/>
        <v>202000</v>
      </c>
      <c r="BD253" s="70">
        <f t="shared" si="217"/>
        <v>191000</v>
      </c>
      <c r="BE253" s="2"/>
      <c r="BF253" s="69">
        <f>smp_open_fa</f>
        <v>180000</v>
      </c>
      <c r="BG253" s="69">
        <f t="shared" ref="BG253:CC253" si="240">BF254</f>
        <v>177000</v>
      </c>
      <c r="BH253" s="69">
        <f t="shared" si="240"/>
        <v>174000</v>
      </c>
      <c r="BI253" s="69">
        <f t="shared" si="240"/>
        <v>206000</v>
      </c>
      <c r="BJ253" s="69">
        <f t="shared" si="240"/>
        <v>203000</v>
      </c>
      <c r="BK253" s="69">
        <f t="shared" si="240"/>
        <v>200000</v>
      </c>
      <c r="BL253" s="69">
        <f t="shared" si="240"/>
        <v>197000</v>
      </c>
      <c r="BM253" s="69">
        <f t="shared" si="240"/>
        <v>194000</v>
      </c>
      <c r="BN253" s="69">
        <f t="shared" si="240"/>
        <v>191000</v>
      </c>
      <c r="BO253" s="69">
        <f t="shared" si="240"/>
        <v>188000</v>
      </c>
      <c r="BP253" s="69">
        <f t="shared" si="240"/>
        <v>185000</v>
      </c>
      <c r="BQ253" s="69">
        <f t="shared" si="240"/>
        <v>202000</v>
      </c>
      <c r="BR253" s="69">
        <f t="shared" si="240"/>
        <v>199000</v>
      </c>
      <c r="BS253" s="69">
        <f t="shared" si="240"/>
        <v>196000</v>
      </c>
      <c r="BT253" s="69">
        <f t="shared" si="240"/>
        <v>193000</v>
      </c>
      <c r="BU253" s="69">
        <f t="shared" si="240"/>
        <v>190000</v>
      </c>
      <c r="BV253" s="69">
        <f t="shared" si="240"/>
        <v>212000</v>
      </c>
      <c r="BW253" s="69">
        <f t="shared" si="240"/>
        <v>209000</v>
      </c>
      <c r="BX253" s="69">
        <f t="shared" si="240"/>
        <v>206000</v>
      </c>
      <c r="BY253" s="69">
        <f t="shared" si="240"/>
        <v>203000</v>
      </c>
      <c r="BZ253" s="69">
        <f t="shared" si="240"/>
        <v>200000</v>
      </c>
      <c r="CA253" s="69">
        <f t="shared" si="240"/>
        <v>197000</v>
      </c>
      <c r="CB253" s="69">
        <f t="shared" si="240"/>
        <v>194000</v>
      </c>
      <c r="CC253" s="69">
        <f t="shared" si="240"/>
        <v>191000</v>
      </c>
      <c r="CD253" s="70">
        <f t="shared" si="219"/>
        <v>202000</v>
      </c>
      <c r="CE253" s="70">
        <f t="shared" si="220"/>
        <v>191000</v>
      </c>
      <c r="CF253" s="2"/>
      <c r="CG253" s="69">
        <f>smp_open_fa</f>
        <v>180000</v>
      </c>
      <c r="CH253" s="69">
        <f t="shared" ref="CH253:DD253" si="241">CG254</f>
        <v>177000</v>
      </c>
      <c r="CI253" s="69">
        <f t="shared" si="241"/>
        <v>174000</v>
      </c>
      <c r="CJ253" s="69">
        <f t="shared" si="241"/>
        <v>206000</v>
      </c>
      <c r="CK253" s="69">
        <f t="shared" si="241"/>
        <v>203000</v>
      </c>
      <c r="CL253" s="69">
        <f t="shared" si="241"/>
        <v>200000</v>
      </c>
      <c r="CM253" s="69">
        <f t="shared" si="241"/>
        <v>197000</v>
      </c>
      <c r="CN253" s="69">
        <f t="shared" si="241"/>
        <v>194000</v>
      </c>
      <c r="CO253" s="69">
        <f t="shared" si="241"/>
        <v>191000</v>
      </c>
      <c r="CP253" s="69">
        <f t="shared" si="241"/>
        <v>188000</v>
      </c>
      <c r="CQ253" s="69">
        <f t="shared" si="241"/>
        <v>185000</v>
      </c>
      <c r="CR253" s="69">
        <f t="shared" si="241"/>
        <v>202000</v>
      </c>
      <c r="CS253" s="69">
        <f t="shared" si="241"/>
        <v>199000</v>
      </c>
      <c r="CT253" s="69">
        <f t="shared" si="241"/>
        <v>196000</v>
      </c>
      <c r="CU253" s="69">
        <f t="shared" si="241"/>
        <v>193000</v>
      </c>
      <c r="CV253" s="69">
        <f t="shared" si="241"/>
        <v>190000</v>
      </c>
      <c r="CW253" s="69">
        <f t="shared" si="241"/>
        <v>212000</v>
      </c>
      <c r="CX253" s="69">
        <f t="shared" si="241"/>
        <v>209000</v>
      </c>
      <c r="CY253" s="69">
        <f t="shared" si="241"/>
        <v>206000</v>
      </c>
      <c r="CZ253" s="69">
        <f t="shared" si="241"/>
        <v>203000</v>
      </c>
      <c r="DA253" s="69">
        <f t="shared" si="241"/>
        <v>200000</v>
      </c>
      <c r="DB253" s="69">
        <f t="shared" si="241"/>
        <v>197000</v>
      </c>
      <c r="DC253" s="69">
        <f t="shared" si="241"/>
        <v>194000</v>
      </c>
      <c r="DD253" s="69">
        <f t="shared" si="241"/>
        <v>191000</v>
      </c>
      <c r="DE253" s="70">
        <f t="shared" si="222"/>
        <v>202000</v>
      </c>
      <c r="DF253" s="70">
        <f t="shared" si="223"/>
        <v>191000</v>
      </c>
      <c r="DG253"/>
      <c r="DH253"/>
    </row>
    <row r="254" spans="1:112" hidden="1" x14ac:dyDescent="0.2">
      <c r="A254" s="1"/>
      <c r="B254" s="35" t="s">
        <v>176</v>
      </c>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2"/>
      <c r="AE254" s="69">
        <f t="shared" ref="AE254:BB254" si="242">AE253+AE239-AE213</f>
        <v>177000</v>
      </c>
      <c r="AF254" s="69">
        <f t="shared" si="242"/>
        <v>174000</v>
      </c>
      <c r="AG254" s="69">
        <f t="shared" si="242"/>
        <v>206000</v>
      </c>
      <c r="AH254" s="69">
        <f t="shared" si="242"/>
        <v>203000</v>
      </c>
      <c r="AI254" s="69">
        <f t="shared" si="242"/>
        <v>200000</v>
      </c>
      <c r="AJ254" s="69">
        <f t="shared" si="242"/>
        <v>197000</v>
      </c>
      <c r="AK254" s="69">
        <f t="shared" si="242"/>
        <v>194000</v>
      </c>
      <c r="AL254" s="69">
        <f t="shared" si="242"/>
        <v>191000</v>
      </c>
      <c r="AM254" s="69">
        <f t="shared" si="242"/>
        <v>188000</v>
      </c>
      <c r="AN254" s="69">
        <f t="shared" si="242"/>
        <v>185000</v>
      </c>
      <c r="AO254" s="69">
        <f t="shared" si="242"/>
        <v>202000</v>
      </c>
      <c r="AP254" s="69">
        <f t="shared" si="242"/>
        <v>199000</v>
      </c>
      <c r="AQ254" s="69">
        <f t="shared" si="242"/>
        <v>196000</v>
      </c>
      <c r="AR254" s="69">
        <f t="shared" si="242"/>
        <v>193000</v>
      </c>
      <c r="AS254" s="69">
        <f t="shared" si="242"/>
        <v>190000</v>
      </c>
      <c r="AT254" s="69">
        <f t="shared" si="242"/>
        <v>212000</v>
      </c>
      <c r="AU254" s="69">
        <f t="shared" si="242"/>
        <v>209000</v>
      </c>
      <c r="AV254" s="69">
        <f t="shared" si="242"/>
        <v>206000</v>
      </c>
      <c r="AW254" s="69">
        <f t="shared" si="242"/>
        <v>203000</v>
      </c>
      <c r="AX254" s="69">
        <f t="shared" si="242"/>
        <v>200000</v>
      </c>
      <c r="AY254" s="69">
        <f t="shared" si="242"/>
        <v>197000</v>
      </c>
      <c r="AZ254" s="69">
        <f t="shared" si="242"/>
        <v>194000</v>
      </c>
      <c r="BA254" s="69">
        <f t="shared" si="242"/>
        <v>191000</v>
      </c>
      <c r="BB254" s="69">
        <f t="shared" si="242"/>
        <v>188000</v>
      </c>
      <c r="BC254" s="70">
        <f t="shared" si="216"/>
        <v>199000</v>
      </c>
      <c r="BD254" s="70">
        <f t="shared" si="217"/>
        <v>188000</v>
      </c>
      <c r="BE254" s="2"/>
      <c r="BF254" s="69">
        <f t="shared" ref="BF254:CC254" si="243">BF253+BF239-BF213</f>
        <v>177000</v>
      </c>
      <c r="BG254" s="69">
        <f t="shared" si="243"/>
        <v>174000</v>
      </c>
      <c r="BH254" s="69">
        <f t="shared" si="243"/>
        <v>206000</v>
      </c>
      <c r="BI254" s="69">
        <f t="shared" si="243"/>
        <v>203000</v>
      </c>
      <c r="BJ254" s="69">
        <f t="shared" si="243"/>
        <v>200000</v>
      </c>
      <c r="BK254" s="69">
        <f t="shared" si="243"/>
        <v>197000</v>
      </c>
      <c r="BL254" s="69">
        <f t="shared" si="243"/>
        <v>194000</v>
      </c>
      <c r="BM254" s="69">
        <f t="shared" si="243"/>
        <v>191000</v>
      </c>
      <c r="BN254" s="69">
        <f t="shared" si="243"/>
        <v>188000</v>
      </c>
      <c r="BO254" s="69">
        <f t="shared" si="243"/>
        <v>185000</v>
      </c>
      <c r="BP254" s="69">
        <f t="shared" si="243"/>
        <v>202000</v>
      </c>
      <c r="BQ254" s="69">
        <f t="shared" si="243"/>
        <v>199000</v>
      </c>
      <c r="BR254" s="69">
        <f t="shared" si="243"/>
        <v>196000</v>
      </c>
      <c r="BS254" s="69">
        <f t="shared" si="243"/>
        <v>193000</v>
      </c>
      <c r="BT254" s="69">
        <f t="shared" si="243"/>
        <v>190000</v>
      </c>
      <c r="BU254" s="69">
        <f t="shared" si="243"/>
        <v>212000</v>
      </c>
      <c r="BV254" s="69">
        <f t="shared" si="243"/>
        <v>209000</v>
      </c>
      <c r="BW254" s="69">
        <f t="shared" si="243"/>
        <v>206000</v>
      </c>
      <c r="BX254" s="69">
        <f t="shared" si="243"/>
        <v>203000</v>
      </c>
      <c r="BY254" s="69">
        <f t="shared" si="243"/>
        <v>200000</v>
      </c>
      <c r="BZ254" s="69">
        <f t="shared" si="243"/>
        <v>197000</v>
      </c>
      <c r="CA254" s="69">
        <f t="shared" si="243"/>
        <v>194000</v>
      </c>
      <c r="CB254" s="69">
        <f t="shared" si="243"/>
        <v>191000</v>
      </c>
      <c r="CC254" s="69">
        <f t="shared" si="243"/>
        <v>188000</v>
      </c>
      <c r="CD254" s="70">
        <f t="shared" si="219"/>
        <v>199000</v>
      </c>
      <c r="CE254" s="70">
        <f t="shared" si="220"/>
        <v>188000</v>
      </c>
      <c r="CF254" s="2"/>
      <c r="CG254" s="69">
        <f t="shared" ref="CG254:DD254" si="244">CG253+CG239-CG213</f>
        <v>177000</v>
      </c>
      <c r="CH254" s="69">
        <f t="shared" si="244"/>
        <v>174000</v>
      </c>
      <c r="CI254" s="69">
        <f t="shared" si="244"/>
        <v>206000</v>
      </c>
      <c r="CJ254" s="69">
        <f t="shared" si="244"/>
        <v>203000</v>
      </c>
      <c r="CK254" s="69">
        <f t="shared" si="244"/>
        <v>200000</v>
      </c>
      <c r="CL254" s="69">
        <f t="shared" si="244"/>
        <v>197000</v>
      </c>
      <c r="CM254" s="69">
        <f t="shared" si="244"/>
        <v>194000</v>
      </c>
      <c r="CN254" s="69">
        <f t="shared" si="244"/>
        <v>191000</v>
      </c>
      <c r="CO254" s="69">
        <f t="shared" si="244"/>
        <v>188000</v>
      </c>
      <c r="CP254" s="69">
        <f t="shared" si="244"/>
        <v>185000</v>
      </c>
      <c r="CQ254" s="69">
        <f t="shared" si="244"/>
        <v>202000</v>
      </c>
      <c r="CR254" s="69">
        <f t="shared" si="244"/>
        <v>199000</v>
      </c>
      <c r="CS254" s="69">
        <f t="shared" si="244"/>
        <v>196000</v>
      </c>
      <c r="CT254" s="69">
        <f t="shared" si="244"/>
        <v>193000</v>
      </c>
      <c r="CU254" s="69">
        <f t="shared" si="244"/>
        <v>190000</v>
      </c>
      <c r="CV254" s="69">
        <f t="shared" si="244"/>
        <v>212000</v>
      </c>
      <c r="CW254" s="69">
        <f t="shared" si="244"/>
        <v>209000</v>
      </c>
      <c r="CX254" s="69">
        <f t="shared" si="244"/>
        <v>206000</v>
      </c>
      <c r="CY254" s="69">
        <f t="shared" si="244"/>
        <v>203000</v>
      </c>
      <c r="CZ254" s="69">
        <f t="shared" si="244"/>
        <v>200000</v>
      </c>
      <c r="DA254" s="69">
        <f t="shared" si="244"/>
        <v>197000</v>
      </c>
      <c r="DB254" s="69">
        <f t="shared" si="244"/>
        <v>194000</v>
      </c>
      <c r="DC254" s="69">
        <f t="shared" si="244"/>
        <v>191000</v>
      </c>
      <c r="DD254" s="69">
        <f t="shared" si="244"/>
        <v>188000</v>
      </c>
      <c r="DE254" s="70">
        <f t="shared" si="222"/>
        <v>199000</v>
      </c>
      <c r="DF254" s="70">
        <f t="shared" si="223"/>
        <v>188000</v>
      </c>
      <c r="DG254"/>
      <c r="DH254"/>
    </row>
    <row r="255" spans="1:112" hidden="1" x14ac:dyDescent="0.2">
      <c r="A255" s="1"/>
      <c r="B255" s="35" t="s">
        <v>177</v>
      </c>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2"/>
      <c r="AE255" s="69">
        <f t="shared" ref="AE255:BB255" si="245">AE254</f>
        <v>177000</v>
      </c>
      <c r="AF255" s="69">
        <f t="shared" si="245"/>
        <v>174000</v>
      </c>
      <c r="AG255" s="69">
        <f t="shared" si="245"/>
        <v>206000</v>
      </c>
      <c r="AH255" s="69">
        <f t="shared" si="245"/>
        <v>203000</v>
      </c>
      <c r="AI255" s="69">
        <f t="shared" si="245"/>
        <v>200000</v>
      </c>
      <c r="AJ255" s="69">
        <f t="shared" si="245"/>
        <v>197000</v>
      </c>
      <c r="AK255" s="69">
        <f t="shared" si="245"/>
        <v>194000</v>
      </c>
      <c r="AL255" s="69">
        <f t="shared" si="245"/>
        <v>191000</v>
      </c>
      <c r="AM255" s="69">
        <f t="shared" si="245"/>
        <v>188000</v>
      </c>
      <c r="AN255" s="69">
        <f t="shared" si="245"/>
        <v>185000</v>
      </c>
      <c r="AO255" s="69">
        <f t="shared" si="245"/>
        <v>202000</v>
      </c>
      <c r="AP255" s="69">
        <f t="shared" si="245"/>
        <v>199000</v>
      </c>
      <c r="AQ255" s="69">
        <f t="shared" si="245"/>
        <v>196000</v>
      </c>
      <c r="AR255" s="69">
        <f t="shared" si="245"/>
        <v>193000</v>
      </c>
      <c r="AS255" s="69">
        <f t="shared" si="245"/>
        <v>190000</v>
      </c>
      <c r="AT255" s="69">
        <f t="shared" si="245"/>
        <v>212000</v>
      </c>
      <c r="AU255" s="69">
        <f t="shared" si="245"/>
        <v>209000</v>
      </c>
      <c r="AV255" s="69">
        <f t="shared" si="245"/>
        <v>206000</v>
      </c>
      <c r="AW255" s="69">
        <f t="shared" si="245"/>
        <v>203000</v>
      </c>
      <c r="AX255" s="69">
        <f t="shared" si="245"/>
        <v>200000</v>
      </c>
      <c r="AY255" s="69">
        <f t="shared" si="245"/>
        <v>197000</v>
      </c>
      <c r="AZ255" s="69">
        <f t="shared" si="245"/>
        <v>194000</v>
      </c>
      <c r="BA255" s="69">
        <f t="shared" si="245"/>
        <v>191000</v>
      </c>
      <c r="BB255" s="69">
        <f t="shared" si="245"/>
        <v>188000</v>
      </c>
      <c r="BC255" s="70">
        <f t="shared" si="216"/>
        <v>199000</v>
      </c>
      <c r="BD255" s="70">
        <f t="shared" si="217"/>
        <v>188000</v>
      </c>
      <c r="BE255" s="2"/>
      <c r="BF255" s="69">
        <f t="shared" ref="BF255:CC255" si="246">BF254</f>
        <v>177000</v>
      </c>
      <c r="BG255" s="69">
        <f t="shared" si="246"/>
        <v>174000</v>
      </c>
      <c r="BH255" s="69">
        <f t="shared" si="246"/>
        <v>206000</v>
      </c>
      <c r="BI255" s="69">
        <f t="shared" si="246"/>
        <v>203000</v>
      </c>
      <c r="BJ255" s="69">
        <f t="shared" si="246"/>
        <v>200000</v>
      </c>
      <c r="BK255" s="69">
        <f t="shared" si="246"/>
        <v>197000</v>
      </c>
      <c r="BL255" s="69">
        <f t="shared" si="246"/>
        <v>194000</v>
      </c>
      <c r="BM255" s="69">
        <f t="shared" si="246"/>
        <v>191000</v>
      </c>
      <c r="BN255" s="69">
        <f t="shared" si="246"/>
        <v>188000</v>
      </c>
      <c r="BO255" s="69">
        <f t="shared" si="246"/>
        <v>185000</v>
      </c>
      <c r="BP255" s="69">
        <f t="shared" si="246"/>
        <v>202000</v>
      </c>
      <c r="BQ255" s="69">
        <f t="shared" si="246"/>
        <v>199000</v>
      </c>
      <c r="BR255" s="69">
        <f t="shared" si="246"/>
        <v>196000</v>
      </c>
      <c r="BS255" s="69">
        <f t="shared" si="246"/>
        <v>193000</v>
      </c>
      <c r="BT255" s="69">
        <f t="shared" si="246"/>
        <v>190000</v>
      </c>
      <c r="BU255" s="69">
        <f t="shared" si="246"/>
        <v>212000</v>
      </c>
      <c r="BV255" s="69">
        <f t="shared" si="246"/>
        <v>209000</v>
      </c>
      <c r="BW255" s="69">
        <f t="shared" si="246"/>
        <v>206000</v>
      </c>
      <c r="BX255" s="69">
        <f t="shared" si="246"/>
        <v>203000</v>
      </c>
      <c r="BY255" s="69">
        <f t="shared" si="246"/>
        <v>200000</v>
      </c>
      <c r="BZ255" s="69">
        <f t="shared" si="246"/>
        <v>197000</v>
      </c>
      <c r="CA255" s="69">
        <f t="shared" si="246"/>
        <v>194000</v>
      </c>
      <c r="CB255" s="69">
        <f t="shared" si="246"/>
        <v>191000</v>
      </c>
      <c r="CC255" s="69">
        <f t="shared" si="246"/>
        <v>188000</v>
      </c>
      <c r="CD255" s="70">
        <f t="shared" si="219"/>
        <v>199000</v>
      </c>
      <c r="CE255" s="70">
        <f t="shared" si="220"/>
        <v>188000</v>
      </c>
      <c r="CF255" s="2"/>
      <c r="CG255" s="69">
        <f t="shared" ref="CG255:DD255" si="247">CG254</f>
        <v>177000</v>
      </c>
      <c r="CH255" s="69">
        <f t="shared" si="247"/>
        <v>174000</v>
      </c>
      <c r="CI255" s="69">
        <f t="shared" si="247"/>
        <v>206000</v>
      </c>
      <c r="CJ255" s="69">
        <f t="shared" si="247"/>
        <v>203000</v>
      </c>
      <c r="CK255" s="69">
        <f t="shared" si="247"/>
        <v>200000</v>
      </c>
      <c r="CL255" s="69">
        <f t="shared" si="247"/>
        <v>197000</v>
      </c>
      <c r="CM255" s="69">
        <f t="shared" si="247"/>
        <v>194000</v>
      </c>
      <c r="CN255" s="69">
        <f t="shared" si="247"/>
        <v>191000</v>
      </c>
      <c r="CO255" s="69">
        <f t="shared" si="247"/>
        <v>188000</v>
      </c>
      <c r="CP255" s="69">
        <f t="shared" si="247"/>
        <v>185000</v>
      </c>
      <c r="CQ255" s="69">
        <f t="shared" si="247"/>
        <v>202000</v>
      </c>
      <c r="CR255" s="69">
        <f t="shared" si="247"/>
        <v>199000</v>
      </c>
      <c r="CS255" s="69">
        <f t="shared" si="247"/>
        <v>196000</v>
      </c>
      <c r="CT255" s="69">
        <f t="shared" si="247"/>
        <v>193000</v>
      </c>
      <c r="CU255" s="69">
        <f t="shared" si="247"/>
        <v>190000</v>
      </c>
      <c r="CV255" s="69">
        <f t="shared" si="247"/>
        <v>212000</v>
      </c>
      <c r="CW255" s="69">
        <f t="shared" si="247"/>
        <v>209000</v>
      </c>
      <c r="CX255" s="69">
        <f t="shared" si="247"/>
        <v>206000</v>
      </c>
      <c r="CY255" s="69">
        <f t="shared" si="247"/>
        <v>203000</v>
      </c>
      <c r="CZ255" s="69">
        <f t="shared" si="247"/>
        <v>200000</v>
      </c>
      <c r="DA255" s="69">
        <f t="shared" si="247"/>
        <v>197000</v>
      </c>
      <c r="DB255" s="69">
        <f t="shared" si="247"/>
        <v>194000</v>
      </c>
      <c r="DC255" s="69">
        <f t="shared" si="247"/>
        <v>191000</v>
      </c>
      <c r="DD255" s="69">
        <f t="shared" si="247"/>
        <v>188000</v>
      </c>
      <c r="DE255" s="70">
        <f t="shared" si="222"/>
        <v>199000</v>
      </c>
      <c r="DF255" s="70">
        <f t="shared" si="223"/>
        <v>188000</v>
      </c>
      <c r="DG255"/>
      <c r="DH255"/>
    </row>
    <row r="256" spans="1:112" hidden="1" x14ac:dyDescent="0.2">
      <c r="A256" s="1"/>
      <c r="B256" s="35" t="s">
        <v>178</v>
      </c>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2"/>
      <c r="AE256" s="70">
        <f t="shared" ref="AE256:BB256" si="248">AE252+AE255</f>
        <v>1365248.6666666667</v>
      </c>
      <c r="AF256" s="70">
        <f t="shared" si="248"/>
        <v>1386323.0254166666</v>
      </c>
      <c r="AG256" s="70">
        <f t="shared" si="248"/>
        <v>1418404.4095833334</v>
      </c>
      <c r="AH256" s="70">
        <f t="shared" si="248"/>
        <v>1417736.4226562502</v>
      </c>
      <c r="AI256" s="70">
        <f t="shared" si="248"/>
        <v>1467535.85765625</v>
      </c>
      <c r="AJ256" s="70">
        <f t="shared" si="248"/>
        <v>1505571.65140625</v>
      </c>
      <c r="AK256" s="70">
        <f t="shared" si="248"/>
        <v>1540465.1372395833</v>
      </c>
      <c r="AL256" s="70">
        <f t="shared" si="248"/>
        <v>1536761.9186458334</v>
      </c>
      <c r="AM256" s="70">
        <f t="shared" si="248"/>
        <v>1592088.7886458333</v>
      </c>
      <c r="AN256" s="70">
        <f t="shared" si="248"/>
        <v>1613940.9542187499</v>
      </c>
      <c r="AO256" s="70">
        <f t="shared" si="248"/>
        <v>1682513.2083854168</v>
      </c>
      <c r="AP256" s="70">
        <f t="shared" si="248"/>
        <v>1717597.1546354168</v>
      </c>
      <c r="AQ256" s="70">
        <f t="shared" si="248"/>
        <v>1784013.4596354167</v>
      </c>
      <c r="AR256" s="70">
        <f t="shared" si="248"/>
        <v>1864090.1233854168</v>
      </c>
      <c r="AS256" s="70">
        <f t="shared" si="248"/>
        <v>1952365.8125520833</v>
      </c>
      <c r="AT256" s="70">
        <f t="shared" si="248"/>
        <v>1967976.776875</v>
      </c>
      <c r="AU256" s="70">
        <f t="shared" si="248"/>
        <v>2070865.8502083335</v>
      </c>
      <c r="AV256" s="70">
        <f t="shared" si="248"/>
        <v>2168178.6156250001</v>
      </c>
      <c r="AW256" s="70">
        <f t="shared" si="248"/>
        <v>2260290.4064583336</v>
      </c>
      <c r="AX256" s="70">
        <f t="shared" si="248"/>
        <v>2273887.4724479169</v>
      </c>
      <c r="AY256" s="70">
        <f t="shared" si="248"/>
        <v>2380976.6474479171</v>
      </c>
      <c r="AZ256" s="70">
        <f t="shared" si="248"/>
        <v>2410715.7642708337</v>
      </c>
      <c r="BA256" s="70">
        <f t="shared" si="248"/>
        <v>2523772.9901041673</v>
      </c>
      <c r="BB256" s="70">
        <f t="shared" si="248"/>
        <v>2595339.2413541675</v>
      </c>
      <c r="BC256" s="70">
        <f t="shared" si="216"/>
        <v>1717597.1546354168</v>
      </c>
      <c r="BD256" s="70">
        <f t="shared" si="217"/>
        <v>2595339.2413541675</v>
      </c>
      <c r="BE256" s="2"/>
      <c r="BF256" s="70">
        <f t="shared" ref="BF256:CC256" si="249">BF252+BF255</f>
        <v>1362005.45</v>
      </c>
      <c r="BG256" s="70">
        <f t="shared" si="249"/>
        <v>1336894.3004166665</v>
      </c>
      <c r="BH256" s="70">
        <f t="shared" si="249"/>
        <v>1321104.9662500001</v>
      </c>
      <c r="BI256" s="70">
        <f t="shared" si="249"/>
        <v>1306549.0021875</v>
      </c>
      <c r="BJ256" s="70">
        <f t="shared" si="249"/>
        <v>1305089.7188541666</v>
      </c>
      <c r="BK256" s="70">
        <f t="shared" si="249"/>
        <v>1290660.8309375001</v>
      </c>
      <c r="BL256" s="70">
        <f t="shared" si="249"/>
        <v>1273593.5784375002</v>
      </c>
      <c r="BM256" s="70">
        <f t="shared" si="249"/>
        <v>1254080.7260416667</v>
      </c>
      <c r="BN256" s="70">
        <f t="shared" si="249"/>
        <v>1257462.7593749999</v>
      </c>
      <c r="BO256" s="70">
        <f t="shared" si="249"/>
        <v>1261449.5028125001</v>
      </c>
      <c r="BP256" s="70">
        <f t="shared" si="249"/>
        <v>1274879.4569791667</v>
      </c>
      <c r="BQ256" s="70">
        <f t="shared" si="249"/>
        <v>1253833.0915625</v>
      </c>
      <c r="BR256" s="70">
        <f t="shared" si="249"/>
        <v>1264222.3265625001</v>
      </c>
      <c r="BS256" s="70">
        <f t="shared" si="249"/>
        <v>1287737.9769791667</v>
      </c>
      <c r="BT256" s="70">
        <f t="shared" si="249"/>
        <v>1317982.6028125002</v>
      </c>
      <c r="BU256" s="70">
        <f t="shared" si="249"/>
        <v>1319885.6539062499</v>
      </c>
      <c r="BV256" s="70">
        <f t="shared" si="249"/>
        <v>1361570.8405729167</v>
      </c>
      <c r="BW256" s="70">
        <f t="shared" si="249"/>
        <v>1396786.9676562501</v>
      </c>
      <c r="BX256" s="70">
        <f t="shared" si="249"/>
        <v>1426953.1951562501</v>
      </c>
      <c r="BY256" s="70">
        <f t="shared" si="249"/>
        <v>1424863.5979166667</v>
      </c>
      <c r="BZ256" s="70">
        <f t="shared" si="249"/>
        <v>1470215.23125</v>
      </c>
      <c r="CA256" s="70">
        <f t="shared" si="249"/>
        <v>1483096.32984375</v>
      </c>
      <c r="CB256" s="70">
        <f t="shared" si="249"/>
        <v>1532480.2640104168</v>
      </c>
      <c r="CC256" s="70">
        <f t="shared" si="249"/>
        <v>1540058.59859375</v>
      </c>
      <c r="CD256" s="70">
        <f t="shared" si="219"/>
        <v>1253833.0915625</v>
      </c>
      <c r="CE256" s="70">
        <f t="shared" si="220"/>
        <v>1540058.59859375</v>
      </c>
      <c r="CF256" s="2"/>
      <c r="CG256" s="70">
        <f t="shared" ref="CG256:DD256" si="250">CG252+CG255</f>
        <v>1370927.2033333334</v>
      </c>
      <c r="CH256" s="70">
        <f t="shared" si="250"/>
        <v>1419577.6820833334</v>
      </c>
      <c r="CI256" s="70">
        <f t="shared" si="250"/>
        <v>1480333.7702500001</v>
      </c>
      <c r="CJ256" s="70">
        <f t="shared" si="250"/>
        <v>1486223.5429895835</v>
      </c>
      <c r="CK256" s="70">
        <f t="shared" si="250"/>
        <v>1566860.2819895835</v>
      </c>
      <c r="CL256" s="70">
        <f t="shared" si="250"/>
        <v>1636325.3984062502</v>
      </c>
      <c r="CM256" s="70">
        <f t="shared" si="250"/>
        <v>1702323.9962395835</v>
      </c>
      <c r="CN256" s="70">
        <f t="shared" si="250"/>
        <v>1706281.6166458335</v>
      </c>
      <c r="CO256" s="70">
        <f t="shared" si="250"/>
        <v>1792911.0213125004</v>
      </c>
      <c r="CP256" s="70">
        <f t="shared" si="250"/>
        <v>1823884.5745520836</v>
      </c>
      <c r="CQ256" s="70">
        <f t="shared" si="250"/>
        <v>1925766.7320520836</v>
      </c>
      <c r="CR256" s="70">
        <f t="shared" si="250"/>
        <v>1994707.2029687501</v>
      </c>
      <c r="CS256" s="70">
        <f t="shared" si="250"/>
        <v>2094930.6693020836</v>
      </c>
      <c r="CT256" s="70">
        <f t="shared" si="250"/>
        <v>2209263.5050520836</v>
      </c>
      <c r="CU256" s="70">
        <f t="shared" si="250"/>
        <v>2332738.2862187503</v>
      </c>
      <c r="CV256" s="70">
        <f t="shared" si="250"/>
        <v>2356736.3314583339</v>
      </c>
      <c r="CW256" s="70">
        <f t="shared" si="250"/>
        <v>2496831.2094583339</v>
      </c>
      <c r="CX256" s="70">
        <f t="shared" si="250"/>
        <v>2631818.8968750006</v>
      </c>
      <c r="CY256" s="70">
        <f t="shared" si="250"/>
        <v>2761467.5797083341</v>
      </c>
      <c r="CZ256" s="70">
        <f t="shared" si="250"/>
        <v>2784598.9766145837</v>
      </c>
      <c r="DA256" s="70">
        <f t="shared" si="250"/>
        <v>2929253.4182812506</v>
      </c>
      <c r="DB256" s="70">
        <f t="shared" si="250"/>
        <v>2969370.5080208341</v>
      </c>
      <c r="DC256" s="70">
        <f t="shared" si="250"/>
        <v>3121183.5505208336</v>
      </c>
      <c r="DD256" s="70">
        <f t="shared" si="250"/>
        <v>3231615.2184375003</v>
      </c>
      <c r="DE256" s="70">
        <f t="shared" si="222"/>
        <v>1994707.2029687501</v>
      </c>
      <c r="DF256" s="70">
        <f t="shared" si="223"/>
        <v>3231615.2184375003</v>
      </c>
      <c r="DG256"/>
      <c r="DH256"/>
    </row>
    <row r="257" spans="1:112" hidden="1" x14ac:dyDescent="0.2">
      <c r="A257" s="1"/>
      <c r="B257" s="35" t="s">
        <v>179</v>
      </c>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2"/>
      <c r="AE257" s="69">
        <f t="shared" ref="AE257:BB257" si="251">AE225</f>
        <v>204640</v>
      </c>
      <c r="AF257" s="69">
        <f t="shared" si="251"/>
        <v>211146.66666666666</v>
      </c>
      <c r="AG257" s="69">
        <f t="shared" si="251"/>
        <v>218421.33333333334</v>
      </c>
      <c r="AH257" s="69">
        <f t="shared" si="251"/>
        <v>225397.33333333334</v>
      </c>
      <c r="AI257" s="69">
        <f t="shared" si="251"/>
        <v>232032</v>
      </c>
      <c r="AJ257" s="69">
        <f t="shared" si="251"/>
        <v>229024</v>
      </c>
      <c r="AK257" s="69">
        <f t="shared" si="251"/>
        <v>225674.66666666666</v>
      </c>
      <c r="AL257" s="69">
        <f t="shared" si="251"/>
        <v>225109.33333333334</v>
      </c>
      <c r="AM257" s="69">
        <f t="shared" si="251"/>
        <v>232085.33333333334</v>
      </c>
      <c r="AN257" s="69">
        <f t="shared" si="251"/>
        <v>238677.33333333334</v>
      </c>
      <c r="AO257" s="69">
        <f t="shared" si="251"/>
        <v>243210.66666666666</v>
      </c>
      <c r="AP257" s="69">
        <f t="shared" si="251"/>
        <v>242986.66666666666</v>
      </c>
      <c r="AQ257" s="69">
        <f t="shared" si="251"/>
        <v>243776</v>
      </c>
      <c r="AR257" s="69">
        <f t="shared" si="251"/>
        <v>250026.66666666666</v>
      </c>
      <c r="AS257" s="69">
        <f t="shared" si="251"/>
        <v>256277.33333333334</v>
      </c>
      <c r="AT257" s="69">
        <f t="shared" si="251"/>
        <v>263253.33333333331</v>
      </c>
      <c r="AU257" s="69">
        <f t="shared" si="251"/>
        <v>267829.33333333331</v>
      </c>
      <c r="AV257" s="69">
        <f t="shared" si="251"/>
        <v>266880</v>
      </c>
      <c r="AW257" s="69">
        <f t="shared" si="251"/>
        <v>263530.66666666669</v>
      </c>
      <c r="AX257" s="69">
        <f t="shared" si="251"/>
        <v>263306.66666666669</v>
      </c>
      <c r="AY257" s="69">
        <f t="shared" si="251"/>
        <v>268106.66666666669</v>
      </c>
      <c r="AZ257" s="69">
        <f t="shared" si="251"/>
        <v>272906.66666666669</v>
      </c>
      <c r="BA257" s="69">
        <f t="shared" si="251"/>
        <v>275306.66666666669</v>
      </c>
      <c r="BB257" s="69">
        <f t="shared" si="251"/>
        <v>272906.66666666669</v>
      </c>
      <c r="BC257" s="70">
        <f t="shared" si="216"/>
        <v>242986.66666666666</v>
      </c>
      <c r="BD257" s="70">
        <f t="shared" si="217"/>
        <v>272906.66666666669</v>
      </c>
      <c r="BE257" s="2"/>
      <c r="BF257" s="69">
        <f t="shared" ref="BF257:CC257" si="252">BF225</f>
        <v>247103.32500000001</v>
      </c>
      <c r="BG257" s="69">
        <f t="shared" si="252"/>
        <v>254725.27499999999</v>
      </c>
      <c r="BH257" s="69">
        <f t="shared" si="252"/>
        <v>263246.86499999999</v>
      </c>
      <c r="BI257" s="69">
        <f t="shared" si="252"/>
        <v>271418.59499999997</v>
      </c>
      <c r="BJ257" s="69">
        <f t="shared" si="252"/>
        <v>279190.48499999999</v>
      </c>
      <c r="BK257" s="69">
        <f t="shared" si="252"/>
        <v>275666.89499999996</v>
      </c>
      <c r="BL257" s="69">
        <f t="shared" si="252"/>
        <v>271743.46500000003</v>
      </c>
      <c r="BM257" s="69">
        <f t="shared" si="252"/>
        <v>271081.23000000004</v>
      </c>
      <c r="BN257" s="69">
        <f t="shared" si="252"/>
        <v>279252.96000000002</v>
      </c>
      <c r="BO257" s="69">
        <f t="shared" si="252"/>
        <v>286974.87</v>
      </c>
      <c r="BP257" s="69">
        <f t="shared" si="252"/>
        <v>292285.24500000005</v>
      </c>
      <c r="BQ257" s="69">
        <f t="shared" si="252"/>
        <v>292022.84999999998</v>
      </c>
      <c r="BR257" s="69">
        <f t="shared" si="252"/>
        <v>292947.48000000004</v>
      </c>
      <c r="BS257" s="69">
        <f t="shared" si="252"/>
        <v>300269.55</v>
      </c>
      <c r="BT257" s="69">
        <f t="shared" si="252"/>
        <v>307591.62000000005</v>
      </c>
      <c r="BU257" s="69">
        <f t="shared" si="252"/>
        <v>315763.34999999998</v>
      </c>
      <c r="BV257" s="69">
        <f t="shared" si="252"/>
        <v>321123.70500000002</v>
      </c>
      <c r="BW257" s="69">
        <f t="shared" si="252"/>
        <v>320011.65000000002</v>
      </c>
      <c r="BX257" s="69">
        <f t="shared" si="252"/>
        <v>316088.22000000003</v>
      </c>
      <c r="BY257" s="69">
        <f t="shared" si="252"/>
        <v>315825.82500000001</v>
      </c>
      <c r="BZ257" s="69">
        <f t="shared" si="252"/>
        <v>321448.57500000001</v>
      </c>
      <c r="CA257" s="69">
        <f t="shared" si="252"/>
        <v>327071.32500000001</v>
      </c>
      <c r="CB257" s="69">
        <f t="shared" si="252"/>
        <v>329882.7</v>
      </c>
      <c r="CC257" s="69">
        <f t="shared" si="252"/>
        <v>327071.32500000001</v>
      </c>
      <c r="CD257" s="70">
        <f t="shared" si="219"/>
        <v>292022.84999999998</v>
      </c>
      <c r="CE257" s="70">
        <f t="shared" si="220"/>
        <v>327071.32500000001</v>
      </c>
      <c r="CF257" s="2"/>
      <c r="CG257" s="69">
        <f t="shared" ref="CG257:DD257" si="253">CG225</f>
        <v>183178.17</v>
      </c>
      <c r="CH257" s="69">
        <f t="shared" si="253"/>
        <v>189096.39</v>
      </c>
      <c r="CI257" s="69">
        <f t="shared" si="253"/>
        <v>195713.15400000004</v>
      </c>
      <c r="CJ257" s="69">
        <f t="shared" si="253"/>
        <v>202058.26200000002</v>
      </c>
      <c r="CK257" s="69">
        <f t="shared" si="253"/>
        <v>208092.90600000002</v>
      </c>
      <c r="CL257" s="69">
        <f t="shared" si="253"/>
        <v>205356.94200000001</v>
      </c>
      <c r="CM257" s="69">
        <f t="shared" si="253"/>
        <v>202310.514</v>
      </c>
      <c r="CN257" s="69">
        <f t="shared" si="253"/>
        <v>201796.30800000002</v>
      </c>
      <c r="CO257" s="69">
        <f t="shared" si="253"/>
        <v>208141.41600000003</v>
      </c>
      <c r="CP257" s="69">
        <f t="shared" si="253"/>
        <v>214137.25200000001</v>
      </c>
      <c r="CQ257" s="69">
        <f t="shared" si="253"/>
        <v>218260.60200000001</v>
      </c>
      <c r="CR257" s="69">
        <f t="shared" si="253"/>
        <v>218056.86000000002</v>
      </c>
      <c r="CS257" s="69">
        <f t="shared" si="253"/>
        <v>218774.80800000002</v>
      </c>
      <c r="CT257" s="69">
        <f t="shared" si="253"/>
        <v>224460.18000000002</v>
      </c>
      <c r="CU257" s="69">
        <f t="shared" si="253"/>
        <v>230145.55200000003</v>
      </c>
      <c r="CV257" s="69">
        <f t="shared" si="253"/>
        <v>236490.66000000003</v>
      </c>
      <c r="CW257" s="69">
        <f t="shared" si="253"/>
        <v>240652.81800000003</v>
      </c>
      <c r="CX257" s="69">
        <f t="shared" si="253"/>
        <v>239789.34000000003</v>
      </c>
      <c r="CY257" s="69">
        <f t="shared" si="253"/>
        <v>236742.91200000004</v>
      </c>
      <c r="CZ257" s="69">
        <f t="shared" si="253"/>
        <v>236539.17000000004</v>
      </c>
      <c r="DA257" s="69">
        <f t="shared" si="253"/>
        <v>240905.07000000004</v>
      </c>
      <c r="DB257" s="69">
        <f t="shared" si="253"/>
        <v>245270.97000000006</v>
      </c>
      <c r="DC257" s="69">
        <f t="shared" si="253"/>
        <v>247453.92000000004</v>
      </c>
      <c r="DD257" s="69">
        <f t="shared" si="253"/>
        <v>245270.97000000006</v>
      </c>
      <c r="DE257" s="70">
        <f t="shared" si="222"/>
        <v>218056.86000000002</v>
      </c>
      <c r="DF257" s="70">
        <f t="shared" si="223"/>
        <v>245270.97000000006</v>
      </c>
      <c r="DG257"/>
      <c r="DH257"/>
    </row>
    <row r="258" spans="1:112" hidden="1" x14ac:dyDescent="0.2">
      <c r="A258" s="1"/>
      <c r="B258" s="35" t="s">
        <v>180</v>
      </c>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2"/>
      <c r="AE258" s="69">
        <f t="shared" ref="AE258:BB258" si="254">AE231</f>
        <v>24000</v>
      </c>
      <c r="AF258" s="69">
        <f t="shared" si="254"/>
        <v>24000</v>
      </c>
      <c r="AG258" s="69">
        <f t="shared" si="254"/>
        <v>24000</v>
      </c>
      <c r="AH258" s="69">
        <f t="shared" si="254"/>
        <v>24000</v>
      </c>
      <c r="AI258" s="69">
        <f t="shared" si="254"/>
        <v>24000</v>
      </c>
      <c r="AJ258" s="69">
        <f t="shared" si="254"/>
        <v>24000</v>
      </c>
      <c r="AK258" s="69">
        <f t="shared" si="254"/>
        <v>24000</v>
      </c>
      <c r="AL258" s="69">
        <f t="shared" si="254"/>
        <v>24000</v>
      </c>
      <c r="AM258" s="69">
        <f t="shared" si="254"/>
        <v>24000</v>
      </c>
      <c r="AN258" s="69">
        <f t="shared" si="254"/>
        <v>24000</v>
      </c>
      <c r="AO258" s="69">
        <f t="shared" si="254"/>
        <v>24000</v>
      </c>
      <c r="AP258" s="69">
        <f t="shared" si="254"/>
        <v>24000</v>
      </c>
      <c r="AQ258" s="69">
        <f t="shared" si="254"/>
        <v>24000</v>
      </c>
      <c r="AR258" s="69">
        <f t="shared" si="254"/>
        <v>24000</v>
      </c>
      <c r="AS258" s="69">
        <f t="shared" si="254"/>
        <v>24000</v>
      </c>
      <c r="AT258" s="69">
        <f t="shared" si="254"/>
        <v>24000</v>
      </c>
      <c r="AU258" s="69">
        <f t="shared" si="254"/>
        <v>24000</v>
      </c>
      <c r="AV258" s="69">
        <f t="shared" si="254"/>
        <v>24000</v>
      </c>
      <c r="AW258" s="69">
        <f t="shared" si="254"/>
        <v>24000</v>
      </c>
      <c r="AX258" s="69">
        <f t="shared" si="254"/>
        <v>24000</v>
      </c>
      <c r="AY258" s="69">
        <f t="shared" si="254"/>
        <v>24000</v>
      </c>
      <c r="AZ258" s="69">
        <f t="shared" si="254"/>
        <v>24000</v>
      </c>
      <c r="BA258" s="69">
        <f t="shared" si="254"/>
        <v>24000</v>
      </c>
      <c r="BB258" s="69">
        <f t="shared" si="254"/>
        <v>24000</v>
      </c>
      <c r="BC258" s="70">
        <f t="shared" si="216"/>
        <v>24000</v>
      </c>
      <c r="BD258" s="70">
        <f t="shared" si="217"/>
        <v>24000</v>
      </c>
      <c r="BE258" s="2"/>
      <c r="BF258" s="69">
        <f t="shared" ref="BF258:CC258" si="255">BF231</f>
        <v>24000</v>
      </c>
      <c r="BG258" s="69">
        <f t="shared" si="255"/>
        <v>24000</v>
      </c>
      <c r="BH258" s="69">
        <f t="shared" si="255"/>
        <v>24000</v>
      </c>
      <c r="BI258" s="69">
        <f t="shared" si="255"/>
        <v>24000</v>
      </c>
      <c r="BJ258" s="69">
        <f t="shared" si="255"/>
        <v>24000</v>
      </c>
      <c r="BK258" s="69">
        <f t="shared" si="255"/>
        <v>24000</v>
      </c>
      <c r="BL258" s="69">
        <f t="shared" si="255"/>
        <v>24000</v>
      </c>
      <c r="BM258" s="69">
        <f t="shared" si="255"/>
        <v>24000</v>
      </c>
      <c r="BN258" s="69">
        <f t="shared" si="255"/>
        <v>24000</v>
      </c>
      <c r="BO258" s="69">
        <f t="shared" si="255"/>
        <v>24000</v>
      </c>
      <c r="BP258" s="69">
        <f t="shared" si="255"/>
        <v>24000</v>
      </c>
      <c r="BQ258" s="69">
        <f t="shared" si="255"/>
        <v>24000</v>
      </c>
      <c r="BR258" s="69">
        <f t="shared" si="255"/>
        <v>24000</v>
      </c>
      <c r="BS258" s="69">
        <f t="shared" si="255"/>
        <v>24000</v>
      </c>
      <c r="BT258" s="69">
        <f t="shared" si="255"/>
        <v>24000</v>
      </c>
      <c r="BU258" s="69">
        <f t="shared" si="255"/>
        <v>24000</v>
      </c>
      <c r="BV258" s="69">
        <f t="shared" si="255"/>
        <v>24000</v>
      </c>
      <c r="BW258" s="69">
        <f t="shared" si="255"/>
        <v>24000</v>
      </c>
      <c r="BX258" s="69">
        <f t="shared" si="255"/>
        <v>24000</v>
      </c>
      <c r="BY258" s="69">
        <f t="shared" si="255"/>
        <v>24000</v>
      </c>
      <c r="BZ258" s="69">
        <f t="shared" si="255"/>
        <v>24000</v>
      </c>
      <c r="CA258" s="69">
        <f t="shared" si="255"/>
        <v>24000</v>
      </c>
      <c r="CB258" s="69">
        <f t="shared" si="255"/>
        <v>24000</v>
      </c>
      <c r="CC258" s="69">
        <f t="shared" si="255"/>
        <v>24000</v>
      </c>
      <c r="CD258" s="70">
        <f t="shared" si="219"/>
        <v>24000</v>
      </c>
      <c r="CE258" s="70">
        <f t="shared" si="220"/>
        <v>24000</v>
      </c>
      <c r="CF258" s="2"/>
      <c r="CG258" s="69">
        <f t="shared" ref="CG258:DD258" si="256">CG231</f>
        <v>24000</v>
      </c>
      <c r="CH258" s="69">
        <f t="shared" si="256"/>
        <v>24000</v>
      </c>
      <c r="CI258" s="69">
        <f t="shared" si="256"/>
        <v>24000</v>
      </c>
      <c r="CJ258" s="69">
        <f t="shared" si="256"/>
        <v>24000</v>
      </c>
      <c r="CK258" s="69">
        <f t="shared" si="256"/>
        <v>24000</v>
      </c>
      <c r="CL258" s="69">
        <f t="shared" si="256"/>
        <v>24000</v>
      </c>
      <c r="CM258" s="69">
        <f t="shared" si="256"/>
        <v>24000</v>
      </c>
      <c r="CN258" s="69">
        <f t="shared" si="256"/>
        <v>24000</v>
      </c>
      <c r="CO258" s="69">
        <f t="shared" si="256"/>
        <v>24000</v>
      </c>
      <c r="CP258" s="69">
        <f t="shared" si="256"/>
        <v>24000</v>
      </c>
      <c r="CQ258" s="69">
        <f t="shared" si="256"/>
        <v>24000</v>
      </c>
      <c r="CR258" s="69">
        <f t="shared" si="256"/>
        <v>24000</v>
      </c>
      <c r="CS258" s="69">
        <f t="shared" si="256"/>
        <v>24000</v>
      </c>
      <c r="CT258" s="69">
        <f t="shared" si="256"/>
        <v>24000</v>
      </c>
      <c r="CU258" s="69">
        <f t="shared" si="256"/>
        <v>24000</v>
      </c>
      <c r="CV258" s="69">
        <f t="shared" si="256"/>
        <v>24000</v>
      </c>
      <c r="CW258" s="69">
        <f t="shared" si="256"/>
        <v>24000</v>
      </c>
      <c r="CX258" s="69">
        <f t="shared" si="256"/>
        <v>24000</v>
      </c>
      <c r="CY258" s="69">
        <f t="shared" si="256"/>
        <v>24000</v>
      </c>
      <c r="CZ258" s="69">
        <f t="shared" si="256"/>
        <v>24000</v>
      </c>
      <c r="DA258" s="69">
        <f t="shared" si="256"/>
        <v>24000</v>
      </c>
      <c r="DB258" s="69">
        <f t="shared" si="256"/>
        <v>24000</v>
      </c>
      <c r="DC258" s="69">
        <f t="shared" si="256"/>
        <v>24000</v>
      </c>
      <c r="DD258" s="69">
        <f t="shared" si="256"/>
        <v>24000</v>
      </c>
      <c r="DE258" s="70">
        <f t="shared" si="222"/>
        <v>24000</v>
      </c>
      <c r="DF258" s="70">
        <f t="shared" si="223"/>
        <v>24000</v>
      </c>
      <c r="DG258"/>
      <c r="DH258"/>
    </row>
    <row r="259" spans="1:112" hidden="1" x14ac:dyDescent="0.2">
      <c r="A259" s="1"/>
      <c r="B259" s="35" t="s">
        <v>181</v>
      </c>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2"/>
      <c r="AE259" s="69">
        <f t="shared" ref="AE259:BB259" si="257">AE235</f>
        <v>33485.416666666672</v>
      </c>
      <c r="AF259" s="69">
        <f t="shared" si="257"/>
        <v>41210.589687500011</v>
      </c>
      <c r="AG259" s="69">
        <f t="shared" si="257"/>
        <v>51495.519062500018</v>
      </c>
      <c r="AH259" s="69">
        <f t="shared" si="257"/>
        <v>22190.474947916679</v>
      </c>
      <c r="AI259" s="69">
        <f t="shared" si="257"/>
        <v>37064.917031250021</v>
      </c>
      <c r="AJ259" s="69">
        <f t="shared" si="257"/>
        <v>51409.115468750024</v>
      </c>
      <c r="AK259" s="69">
        <f t="shared" si="257"/>
        <v>65053.070260416695</v>
      </c>
      <c r="AL259" s="69">
        <f t="shared" si="257"/>
        <v>36874.551562500012</v>
      </c>
      <c r="AM259" s="69">
        <f t="shared" si="257"/>
        <v>53045.519062500018</v>
      </c>
      <c r="AN259" s="69">
        <f t="shared" si="257"/>
        <v>29466.51307291667</v>
      </c>
      <c r="AO259" s="69">
        <f t="shared" si="257"/>
        <v>49559.493281250005</v>
      </c>
      <c r="AP259" s="69">
        <f t="shared" si="257"/>
        <v>69969.729843750014</v>
      </c>
      <c r="AQ259" s="69">
        <f t="shared" si="257"/>
        <v>90459.722760416684</v>
      </c>
      <c r="AR259" s="69">
        <f t="shared" si="257"/>
        <v>112999.47203125001</v>
      </c>
      <c r="AS259" s="69">
        <f t="shared" si="257"/>
        <v>137588.97765625</v>
      </c>
      <c r="AT259" s="69">
        <f t="shared" si="257"/>
        <v>81649.156041666676</v>
      </c>
      <c r="AU259" s="69">
        <f t="shared" si="257"/>
        <v>110310.67437500002</v>
      </c>
      <c r="AV259" s="69">
        <f t="shared" si="257"/>
        <v>138959.44906250003</v>
      </c>
      <c r="AW259" s="69">
        <f t="shared" si="257"/>
        <v>166907.98010416669</v>
      </c>
      <c r="AX259" s="69">
        <f t="shared" si="257"/>
        <v>112264.68390625001</v>
      </c>
      <c r="AY259" s="69">
        <f t="shared" si="257"/>
        <v>141920.22765625</v>
      </c>
      <c r="AZ259" s="69">
        <f t="shared" si="257"/>
        <v>90056.444166666668</v>
      </c>
      <c r="BA259" s="69">
        <f t="shared" si="257"/>
        <v>121804.00062500002</v>
      </c>
      <c r="BB259" s="69">
        <f t="shared" si="257"/>
        <v>152878.81343750001</v>
      </c>
      <c r="BC259" s="70">
        <f t="shared" si="216"/>
        <v>69969.729843750014</v>
      </c>
      <c r="BD259" s="70">
        <f t="shared" si="217"/>
        <v>152878.81343750001</v>
      </c>
      <c r="BE259" s="2"/>
      <c r="BF259" s="69">
        <f t="shared" ref="BF259:CC259" si="258">BF235</f>
        <v>28000</v>
      </c>
      <c r="BG259" s="69">
        <f t="shared" si="258"/>
        <v>28000</v>
      </c>
      <c r="BH259" s="69">
        <f t="shared" si="258"/>
        <v>28000</v>
      </c>
      <c r="BI259" s="69">
        <f t="shared" si="258"/>
        <v>21761.154687499999</v>
      </c>
      <c r="BJ259" s="69">
        <f t="shared" si="258"/>
        <v>23536.611354166667</v>
      </c>
      <c r="BK259" s="69">
        <f t="shared" si="258"/>
        <v>24893.536875000005</v>
      </c>
      <c r="BL259" s="69">
        <f t="shared" si="258"/>
        <v>25690.831250000003</v>
      </c>
      <c r="BM259" s="69">
        <f t="shared" si="258"/>
        <v>20382.292916666665</v>
      </c>
      <c r="BN259" s="69">
        <f t="shared" si="258"/>
        <v>23268.118750000001</v>
      </c>
      <c r="BO259" s="69">
        <f t="shared" si="258"/>
        <v>21738.443125000005</v>
      </c>
      <c r="BP259" s="69">
        <f t="shared" si="258"/>
        <v>27851.587916666667</v>
      </c>
      <c r="BQ259" s="69">
        <f t="shared" si="258"/>
        <v>34238.845312500001</v>
      </c>
      <c r="BR259" s="69">
        <f t="shared" si="258"/>
        <v>40688.246562499997</v>
      </c>
      <c r="BS259" s="69">
        <f t="shared" si="258"/>
        <v>48819.891666666663</v>
      </c>
      <c r="BT259" s="69">
        <f t="shared" si="258"/>
        <v>58633.780624999992</v>
      </c>
      <c r="BU259" s="69">
        <f t="shared" si="258"/>
        <v>33389.878281249999</v>
      </c>
      <c r="BV259" s="69">
        <f t="shared" si="258"/>
        <v>46554.336197916666</v>
      </c>
      <c r="BW259" s="69">
        <f t="shared" si="258"/>
        <v>59719.631718749995</v>
      </c>
      <c r="BX259" s="69">
        <f t="shared" si="258"/>
        <v>72325.296093749988</v>
      </c>
      <c r="BY259" s="69">
        <f t="shared" si="258"/>
        <v>48191.762916666659</v>
      </c>
      <c r="BZ259" s="69">
        <f t="shared" si="258"/>
        <v>62207.233749999992</v>
      </c>
      <c r="CA259" s="69">
        <f t="shared" si="258"/>
        <v>40345.088281250006</v>
      </c>
      <c r="CB259" s="69">
        <f t="shared" si="258"/>
        <v>56071.478072916674</v>
      </c>
      <c r="CC259" s="69">
        <f t="shared" si="258"/>
        <v>71252.155468750003</v>
      </c>
      <c r="CD259" s="70">
        <f t="shared" si="219"/>
        <v>34238.845312500001</v>
      </c>
      <c r="CE259" s="70">
        <f t="shared" si="220"/>
        <v>71252.155468750003</v>
      </c>
      <c r="CF259" s="2"/>
      <c r="CG259" s="69">
        <f t="shared" ref="CG259:DD259" si="259">CG235</f>
        <v>40270.508333333331</v>
      </c>
      <c r="CH259" s="69">
        <f t="shared" si="259"/>
        <v>55036.823020833333</v>
      </c>
      <c r="CI259" s="69">
        <f t="shared" si="259"/>
        <v>72654.904062499991</v>
      </c>
      <c r="CJ259" s="69">
        <f t="shared" si="259"/>
        <v>27721.646614583318</v>
      </c>
      <c r="CK259" s="69">
        <f t="shared" si="259"/>
        <v>50455.420364583333</v>
      </c>
      <c r="CL259" s="69">
        <f t="shared" si="259"/>
        <v>72588.940468750006</v>
      </c>
      <c r="CM259" s="69">
        <f t="shared" si="259"/>
        <v>93933.446927083336</v>
      </c>
      <c r="CN259" s="69">
        <f t="shared" si="259"/>
        <v>50231.979895833319</v>
      </c>
      <c r="CO259" s="69">
        <f t="shared" si="259"/>
        <v>74386.304062499999</v>
      </c>
      <c r="CP259" s="69">
        <f t="shared" si="259"/>
        <v>35811.309739583325</v>
      </c>
      <c r="CQ259" s="69">
        <f t="shared" si="259"/>
        <v>64334.261614583331</v>
      </c>
      <c r="CR259" s="69">
        <f t="shared" si="259"/>
        <v>93203.564843750006</v>
      </c>
      <c r="CS259" s="69">
        <f t="shared" si="259"/>
        <v>122163.19442708335</v>
      </c>
      <c r="CT259" s="69">
        <f t="shared" si="259"/>
        <v>153408.31036458333</v>
      </c>
      <c r="CU259" s="69">
        <f t="shared" si="259"/>
        <v>186938.91265625</v>
      </c>
      <c r="CV259" s="69">
        <f t="shared" si="259"/>
        <v>112376.36395833334</v>
      </c>
      <c r="CW259" s="69">
        <f t="shared" si="259"/>
        <v>150442.79395833335</v>
      </c>
      <c r="CX259" s="69">
        <f t="shared" si="259"/>
        <v>188488.83531250001</v>
      </c>
      <c r="CY259" s="69">
        <f t="shared" si="259"/>
        <v>225745.86302083335</v>
      </c>
      <c r="CZ259" s="69">
        <f t="shared" si="259"/>
        <v>152603.86473958334</v>
      </c>
      <c r="DA259" s="69">
        <f t="shared" si="259"/>
        <v>191759.25015625</v>
      </c>
      <c r="DB259" s="69">
        <f t="shared" si="259"/>
        <v>121721.26458333332</v>
      </c>
      <c r="DC259" s="69">
        <f t="shared" si="259"/>
        <v>163212.03770833332</v>
      </c>
      <c r="DD259" s="69">
        <f t="shared" si="259"/>
        <v>203948.94218749998</v>
      </c>
      <c r="DE259" s="70">
        <f t="shared" si="222"/>
        <v>93203.564843750006</v>
      </c>
      <c r="DF259" s="70">
        <f t="shared" si="223"/>
        <v>203948.94218749998</v>
      </c>
      <c r="DG259"/>
      <c r="DH259"/>
    </row>
    <row r="260" spans="1:112" hidden="1" x14ac:dyDescent="0.2">
      <c r="A260" s="1"/>
      <c r="B260" s="35" t="s">
        <v>182</v>
      </c>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2"/>
      <c r="AE260" s="70">
        <f t="shared" ref="AE260:BB260" si="260">AE257+AE258+AE259</f>
        <v>262125.41666666669</v>
      </c>
      <c r="AF260" s="70">
        <f t="shared" si="260"/>
        <v>276357.25635416666</v>
      </c>
      <c r="AG260" s="70">
        <f t="shared" si="260"/>
        <v>293916.85239583335</v>
      </c>
      <c r="AH260" s="70">
        <f t="shared" si="260"/>
        <v>271587.80828125001</v>
      </c>
      <c r="AI260" s="70">
        <f t="shared" si="260"/>
        <v>293096.91703125002</v>
      </c>
      <c r="AJ260" s="70">
        <f t="shared" si="260"/>
        <v>304433.11546875001</v>
      </c>
      <c r="AK260" s="70">
        <f t="shared" si="260"/>
        <v>314727.73692708334</v>
      </c>
      <c r="AL260" s="70">
        <f t="shared" si="260"/>
        <v>285983.88489583333</v>
      </c>
      <c r="AM260" s="70">
        <f t="shared" si="260"/>
        <v>309130.85239583335</v>
      </c>
      <c r="AN260" s="70">
        <f t="shared" si="260"/>
        <v>292143.84640625003</v>
      </c>
      <c r="AO260" s="70">
        <f t="shared" si="260"/>
        <v>316770.15994791663</v>
      </c>
      <c r="AP260" s="70">
        <f t="shared" si="260"/>
        <v>336956.39651041664</v>
      </c>
      <c r="AQ260" s="70">
        <f t="shared" si="260"/>
        <v>358235.72276041668</v>
      </c>
      <c r="AR260" s="70">
        <f t="shared" si="260"/>
        <v>387026.13869791664</v>
      </c>
      <c r="AS260" s="70">
        <f t="shared" si="260"/>
        <v>417866.31098958338</v>
      </c>
      <c r="AT260" s="70">
        <f t="shared" si="260"/>
        <v>368902.489375</v>
      </c>
      <c r="AU260" s="70">
        <f t="shared" si="260"/>
        <v>402140.00770833332</v>
      </c>
      <c r="AV260" s="70">
        <f t="shared" si="260"/>
        <v>429839.44906250003</v>
      </c>
      <c r="AW260" s="70">
        <f t="shared" si="260"/>
        <v>454438.64677083341</v>
      </c>
      <c r="AX260" s="70">
        <f t="shared" si="260"/>
        <v>399571.35057291668</v>
      </c>
      <c r="AY260" s="70">
        <f t="shared" si="260"/>
        <v>434026.89432291669</v>
      </c>
      <c r="AZ260" s="70">
        <f t="shared" si="260"/>
        <v>386963.11083333334</v>
      </c>
      <c r="BA260" s="70">
        <f t="shared" si="260"/>
        <v>421110.66729166673</v>
      </c>
      <c r="BB260" s="70">
        <f t="shared" si="260"/>
        <v>449785.48010416667</v>
      </c>
      <c r="BC260" s="70">
        <f t="shared" si="216"/>
        <v>336956.39651041664</v>
      </c>
      <c r="BD260" s="70">
        <f t="shared" si="217"/>
        <v>449785.48010416667</v>
      </c>
      <c r="BE260" s="2"/>
      <c r="BF260" s="70">
        <f t="shared" ref="BF260:CC260" si="261">BF257+BF258+BF259</f>
        <v>299103.32500000001</v>
      </c>
      <c r="BG260" s="70">
        <f t="shared" si="261"/>
        <v>306725.27500000002</v>
      </c>
      <c r="BH260" s="70">
        <f t="shared" si="261"/>
        <v>315246.86499999999</v>
      </c>
      <c r="BI260" s="70">
        <f t="shared" si="261"/>
        <v>317179.74968749995</v>
      </c>
      <c r="BJ260" s="70">
        <f t="shared" si="261"/>
        <v>326727.09635416663</v>
      </c>
      <c r="BK260" s="70">
        <f t="shared" si="261"/>
        <v>324560.43187499995</v>
      </c>
      <c r="BL260" s="70">
        <f t="shared" si="261"/>
        <v>321434.29625000001</v>
      </c>
      <c r="BM260" s="70">
        <f t="shared" si="261"/>
        <v>315463.5229166667</v>
      </c>
      <c r="BN260" s="70">
        <f t="shared" si="261"/>
        <v>326521.07875000004</v>
      </c>
      <c r="BO260" s="70">
        <f t="shared" si="261"/>
        <v>332713.31312499999</v>
      </c>
      <c r="BP260" s="70">
        <f t="shared" si="261"/>
        <v>344136.8329166667</v>
      </c>
      <c r="BQ260" s="70">
        <f t="shared" si="261"/>
        <v>350261.6953125</v>
      </c>
      <c r="BR260" s="70">
        <f t="shared" si="261"/>
        <v>357635.72656250006</v>
      </c>
      <c r="BS260" s="70">
        <f t="shared" si="261"/>
        <v>373089.44166666665</v>
      </c>
      <c r="BT260" s="70">
        <f t="shared" si="261"/>
        <v>390225.40062500007</v>
      </c>
      <c r="BU260" s="70">
        <f t="shared" si="261"/>
        <v>373153.22828124999</v>
      </c>
      <c r="BV260" s="70">
        <f t="shared" si="261"/>
        <v>391678.04119791667</v>
      </c>
      <c r="BW260" s="70">
        <f t="shared" si="261"/>
        <v>403731.28171875002</v>
      </c>
      <c r="BX260" s="70">
        <f t="shared" si="261"/>
        <v>412413.51609375002</v>
      </c>
      <c r="BY260" s="70">
        <f t="shared" si="261"/>
        <v>388017.58791666664</v>
      </c>
      <c r="BZ260" s="70">
        <f t="shared" si="261"/>
        <v>407655.80875000003</v>
      </c>
      <c r="CA260" s="70">
        <f t="shared" si="261"/>
        <v>391416.41328125005</v>
      </c>
      <c r="CB260" s="70">
        <f t="shared" si="261"/>
        <v>409954.17807291669</v>
      </c>
      <c r="CC260" s="70">
        <f t="shared" si="261"/>
        <v>422323.48046875</v>
      </c>
      <c r="CD260" s="70">
        <f t="shared" si="219"/>
        <v>350261.6953125</v>
      </c>
      <c r="CE260" s="70">
        <f t="shared" si="220"/>
        <v>422323.48046875</v>
      </c>
      <c r="CF260" s="2"/>
      <c r="CG260" s="70">
        <f t="shared" ref="CG260:DD260" si="262">CG257+CG258+CG259</f>
        <v>247448.67833333334</v>
      </c>
      <c r="CH260" s="70">
        <f t="shared" si="262"/>
        <v>268133.21302083333</v>
      </c>
      <c r="CI260" s="70">
        <f t="shared" si="262"/>
        <v>292368.05806250003</v>
      </c>
      <c r="CJ260" s="70">
        <f t="shared" si="262"/>
        <v>253779.90861458334</v>
      </c>
      <c r="CK260" s="70">
        <f t="shared" si="262"/>
        <v>282548.32636458334</v>
      </c>
      <c r="CL260" s="70">
        <f t="shared" si="262"/>
        <v>301945.88246875</v>
      </c>
      <c r="CM260" s="70">
        <f t="shared" si="262"/>
        <v>320243.96092708333</v>
      </c>
      <c r="CN260" s="70">
        <f t="shared" si="262"/>
        <v>276028.28789583332</v>
      </c>
      <c r="CO260" s="70">
        <f t="shared" si="262"/>
        <v>306527.72006250004</v>
      </c>
      <c r="CP260" s="70">
        <f t="shared" si="262"/>
        <v>273948.56173958333</v>
      </c>
      <c r="CQ260" s="70">
        <f t="shared" si="262"/>
        <v>306594.86361458333</v>
      </c>
      <c r="CR260" s="70">
        <f t="shared" si="262"/>
        <v>335260.42484375002</v>
      </c>
      <c r="CS260" s="70">
        <f t="shared" si="262"/>
        <v>364938.00242708338</v>
      </c>
      <c r="CT260" s="70">
        <f t="shared" si="262"/>
        <v>401868.49036458333</v>
      </c>
      <c r="CU260" s="70">
        <f t="shared" si="262"/>
        <v>441084.46465625003</v>
      </c>
      <c r="CV260" s="70">
        <f t="shared" si="262"/>
        <v>372867.02395833336</v>
      </c>
      <c r="CW260" s="70">
        <f t="shared" si="262"/>
        <v>415095.61195833341</v>
      </c>
      <c r="CX260" s="70">
        <f t="shared" si="262"/>
        <v>452278.17531250004</v>
      </c>
      <c r="CY260" s="70">
        <f t="shared" si="262"/>
        <v>486488.77502083336</v>
      </c>
      <c r="CZ260" s="70">
        <f t="shared" si="262"/>
        <v>413143.03473958338</v>
      </c>
      <c r="DA260" s="70">
        <f t="shared" si="262"/>
        <v>456664.32015625003</v>
      </c>
      <c r="DB260" s="70">
        <f t="shared" si="262"/>
        <v>390992.23458333343</v>
      </c>
      <c r="DC260" s="70">
        <f t="shared" si="262"/>
        <v>434665.95770833339</v>
      </c>
      <c r="DD260" s="70">
        <f t="shared" si="262"/>
        <v>473219.91218750004</v>
      </c>
      <c r="DE260" s="70">
        <f t="shared" si="222"/>
        <v>335260.42484375002</v>
      </c>
      <c r="DF260" s="70">
        <f t="shared" si="223"/>
        <v>473219.91218750004</v>
      </c>
      <c r="DG260"/>
      <c r="DH260"/>
    </row>
    <row r="261" spans="1:112" hidden="1" x14ac:dyDescent="0.2">
      <c r="A261" s="1"/>
      <c r="B261" s="35" t="s">
        <v>183</v>
      </c>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2"/>
      <c r="AE261" s="69">
        <f t="shared" ref="AE261:BB261" si="263">AE215+AE241-AE242</f>
        <v>291667</v>
      </c>
      <c r="AF261" s="69">
        <f t="shared" si="263"/>
        <v>283334</v>
      </c>
      <c r="AG261" s="69">
        <f t="shared" si="263"/>
        <v>275001</v>
      </c>
      <c r="AH261" s="69">
        <f t="shared" si="263"/>
        <v>266668</v>
      </c>
      <c r="AI261" s="69">
        <f t="shared" si="263"/>
        <v>258335</v>
      </c>
      <c r="AJ261" s="69">
        <f t="shared" si="263"/>
        <v>250002</v>
      </c>
      <c r="AK261" s="69">
        <f t="shared" si="263"/>
        <v>241669</v>
      </c>
      <c r="AL261" s="69">
        <f t="shared" si="263"/>
        <v>233336</v>
      </c>
      <c r="AM261" s="69">
        <f t="shared" si="263"/>
        <v>225003</v>
      </c>
      <c r="AN261" s="69">
        <f t="shared" si="263"/>
        <v>216670</v>
      </c>
      <c r="AO261" s="69">
        <f t="shared" si="263"/>
        <v>208337</v>
      </c>
      <c r="AP261" s="69">
        <f t="shared" si="263"/>
        <v>200004</v>
      </c>
      <c r="AQ261" s="69">
        <f t="shared" si="263"/>
        <v>191671</v>
      </c>
      <c r="AR261" s="69">
        <f t="shared" si="263"/>
        <v>183338</v>
      </c>
      <c r="AS261" s="69">
        <f t="shared" si="263"/>
        <v>175005</v>
      </c>
      <c r="AT261" s="69">
        <f t="shared" si="263"/>
        <v>166672</v>
      </c>
      <c r="AU261" s="69">
        <f t="shared" si="263"/>
        <v>158339</v>
      </c>
      <c r="AV261" s="69">
        <f t="shared" si="263"/>
        <v>150006</v>
      </c>
      <c r="AW261" s="69">
        <f t="shared" si="263"/>
        <v>141673</v>
      </c>
      <c r="AX261" s="69">
        <f t="shared" si="263"/>
        <v>133340</v>
      </c>
      <c r="AY261" s="69">
        <f t="shared" si="263"/>
        <v>125007</v>
      </c>
      <c r="AZ261" s="69">
        <f t="shared" si="263"/>
        <v>116674</v>
      </c>
      <c r="BA261" s="69">
        <f t="shared" si="263"/>
        <v>108341</v>
      </c>
      <c r="BB261" s="69">
        <f t="shared" si="263"/>
        <v>100008</v>
      </c>
      <c r="BC261" s="70">
        <f t="shared" si="216"/>
        <v>200004</v>
      </c>
      <c r="BD261" s="70">
        <f t="shared" si="217"/>
        <v>100008</v>
      </c>
      <c r="BE261" s="2"/>
      <c r="BF261" s="69">
        <f t="shared" ref="BF261:CC261" si="264">BF215+BF241-BF242</f>
        <v>291667</v>
      </c>
      <c r="BG261" s="69">
        <f t="shared" si="264"/>
        <v>283334</v>
      </c>
      <c r="BH261" s="69">
        <f t="shared" si="264"/>
        <v>275001</v>
      </c>
      <c r="BI261" s="69">
        <f t="shared" si="264"/>
        <v>266668</v>
      </c>
      <c r="BJ261" s="69">
        <f t="shared" si="264"/>
        <v>258335</v>
      </c>
      <c r="BK261" s="69">
        <f t="shared" si="264"/>
        <v>250002</v>
      </c>
      <c r="BL261" s="69">
        <f t="shared" si="264"/>
        <v>241669</v>
      </c>
      <c r="BM261" s="69">
        <f t="shared" si="264"/>
        <v>233336</v>
      </c>
      <c r="BN261" s="69">
        <f t="shared" si="264"/>
        <v>225003</v>
      </c>
      <c r="BO261" s="69">
        <f t="shared" si="264"/>
        <v>216670</v>
      </c>
      <c r="BP261" s="69">
        <f t="shared" si="264"/>
        <v>208337</v>
      </c>
      <c r="BQ261" s="69">
        <f t="shared" si="264"/>
        <v>200004</v>
      </c>
      <c r="BR261" s="69">
        <f t="shared" si="264"/>
        <v>191671</v>
      </c>
      <c r="BS261" s="69">
        <f t="shared" si="264"/>
        <v>183338</v>
      </c>
      <c r="BT261" s="69">
        <f t="shared" si="264"/>
        <v>175005</v>
      </c>
      <c r="BU261" s="69">
        <f t="shared" si="264"/>
        <v>166672</v>
      </c>
      <c r="BV261" s="69">
        <f t="shared" si="264"/>
        <v>158339</v>
      </c>
      <c r="BW261" s="69">
        <f t="shared" si="264"/>
        <v>150006</v>
      </c>
      <c r="BX261" s="69">
        <f t="shared" si="264"/>
        <v>141673</v>
      </c>
      <c r="BY261" s="69">
        <f t="shared" si="264"/>
        <v>133340</v>
      </c>
      <c r="BZ261" s="69">
        <f t="shared" si="264"/>
        <v>125007</v>
      </c>
      <c r="CA261" s="69">
        <f t="shared" si="264"/>
        <v>116674</v>
      </c>
      <c r="CB261" s="69">
        <f t="shared" si="264"/>
        <v>108341</v>
      </c>
      <c r="CC261" s="69">
        <f t="shared" si="264"/>
        <v>100008</v>
      </c>
      <c r="CD261" s="70">
        <f t="shared" si="219"/>
        <v>200004</v>
      </c>
      <c r="CE261" s="70">
        <f t="shared" si="220"/>
        <v>100008</v>
      </c>
      <c r="CF261" s="2"/>
      <c r="CG261" s="69">
        <f t="shared" ref="CG261:DD261" si="265">CG215+CG241-CG242</f>
        <v>291667</v>
      </c>
      <c r="CH261" s="69">
        <f t="shared" si="265"/>
        <v>283334</v>
      </c>
      <c r="CI261" s="69">
        <f t="shared" si="265"/>
        <v>275001</v>
      </c>
      <c r="CJ261" s="69">
        <f t="shared" si="265"/>
        <v>266668</v>
      </c>
      <c r="CK261" s="69">
        <f t="shared" si="265"/>
        <v>258335</v>
      </c>
      <c r="CL261" s="69">
        <f t="shared" si="265"/>
        <v>250002</v>
      </c>
      <c r="CM261" s="69">
        <f t="shared" si="265"/>
        <v>241669</v>
      </c>
      <c r="CN261" s="69">
        <f t="shared" si="265"/>
        <v>233336</v>
      </c>
      <c r="CO261" s="69">
        <f t="shared" si="265"/>
        <v>225003</v>
      </c>
      <c r="CP261" s="69">
        <f t="shared" si="265"/>
        <v>216670</v>
      </c>
      <c r="CQ261" s="69">
        <f t="shared" si="265"/>
        <v>208337</v>
      </c>
      <c r="CR261" s="69">
        <f t="shared" si="265"/>
        <v>200004</v>
      </c>
      <c r="CS261" s="69">
        <f t="shared" si="265"/>
        <v>191671</v>
      </c>
      <c r="CT261" s="69">
        <f t="shared" si="265"/>
        <v>183338</v>
      </c>
      <c r="CU261" s="69">
        <f t="shared" si="265"/>
        <v>175005</v>
      </c>
      <c r="CV261" s="69">
        <f t="shared" si="265"/>
        <v>166672</v>
      </c>
      <c r="CW261" s="69">
        <f t="shared" si="265"/>
        <v>158339</v>
      </c>
      <c r="CX261" s="69">
        <f t="shared" si="265"/>
        <v>150006</v>
      </c>
      <c r="CY261" s="69">
        <f t="shared" si="265"/>
        <v>141673</v>
      </c>
      <c r="CZ261" s="69">
        <f t="shared" si="265"/>
        <v>133340</v>
      </c>
      <c r="DA261" s="69">
        <f t="shared" si="265"/>
        <v>125007</v>
      </c>
      <c r="DB261" s="69">
        <f t="shared" si="265"/>
        <v>116674</v>
      </c>
      <c r="DC261" s="69">
        <f t="shared" si="265"/>
        <v>108341</v>
      </c>
      <c r="DD261" s="69">
        <f t="shared" si="265"/>
        <v>100008</v>
      </c>
      <c r="DE261" s="70">
        <f t="shared" si="222"/>
        <v>200004</v>
      </c>
      <c r="DF261" s="70">
        <f t="shared" si="223"/>
        <v>100008</v>
      </c>
      <c r="DG261"/>
      <c r="DH261"/>
    </row>
    <row r="262" spans="1:112" hidden="1" x14ac:dyDescent="0.2">
      <c r="A262" s="1"/>
      <c r="B262" s="35" t="s">
        <v>184</v>
      </c>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2"/>
      <c r="AE262" s="70">
        <f t="shared" ref="AE262:BB262" si="266">AE260+AE261</f>
        <v>553792.41666666674</v>
      </c>
      <c r="AF262" s="70">
        <f t="shared" si="266"/>
        <v>559691.25635416666</v>
      </c>
      <c r="AG262" s="70">
        <f t="shared" si="266"/>
        <v>568917.85239583335</v>
      </c>
      <c r="AH262" s="70">
        <f t="shared" si="266"/>
        <v>538255.80828125007</v>
      </c>
      <c r="AI262" s="70">
        <f t="shared" si="266"/>
        <v>551431.91703124996</v>
      </c>
      <c r="AJ262" s="70">
        <f t="shared" si="266"/>
        <v>554435.11546875001</v>
      </c>
      <c r="AK262" s="70">
        <f t="shared" si="266"/>
        <v>556396.73692708334</v>
      </c>
      <c r="AL262" s="70">
        <f t="shared" si="266"/>
        <v>519319.88489583333</v>
      </c>
      <c r="AM262" s="70">
        <f t="shared" si="266"/>
        <v>534133.85239583335</v>
      </c>
      <c r="AN262" s="70">
        <f t="shared" si="266"/>
        <v>508813.84640625003</v>
      </c>
      <c r="AO262" s="70">
        <f t="shared" si="266"/>
        <v>525107.15994791663</v>
      </c>
      <c r="AP262" s="70">
        <f t="shared" si="266"/>
        <v>536960.39651041664</v>
      </c>
      <c r="AQ262" s="70">
        <f t="shared" si="266"/>
        <v>549906.72276041668</v>
      </c>
      <c r="AR262" s="70">
        <f t="shared" si="266"/>
        <v>570364.13869791664</v>
      </c>
      <c r="AS262" s="70">
        <f t="shared" si="266"/>
        <v>592871.31098958338</v>
      </c>
      <c r="AT262" s="70">
        <f t="shared" si="266"/>
        <v>535574.489375</v>
      </c>
      <c r="AU262" s="70">
        <f t="shared" si="266"/>
        <v>560479.00770833332</v>
      </c>
      <c r="AV262" s="70">
        <f t="shared" si="266"/>
        <v>579845.44906250003</v>
      </c>
      <c r="AW262" s="70">
        <f t="shared" si="266"/>
        <v>596111.64677083341</v>
      </c>
      <c r="AX262" s="70">
        <f t="shared" si="266"/>
        <v>532911.35057291668</v>
      </c>
      <c r="AY262" s="70">
        <f t="shared" si="266"/>
        <v>559033.89432291663</v>
      </c>
      <c r="AZ262" s="70">
        <f t="shared" si="266"/>
        <v>503637.11083333334</v>
      </c>
      <c r="BA262" s="70">
        <f t="shared" si="266"/>
        <v>529451.66729166673</v>
      </c>
      <c r="BB262" s="70">
        <f t="shared" si="266"/>
        <v>549793.48010416667</v>
      </c>
      <c r="BC262" s="70">
        <f t="shared" si="216"/>
        <v>536960.39651041664</v>
      </c>
      <c r="BD262" s="70">
        <f t="shared" si="217"/>
        <v>549793.48010416667</v>
      </c>
      <c r="BE262" s="2"/>
      <c r="BF262" s="70">
        <f t="shared" ref="BF262:CC262" si="267">BF260+BF261</f>
        <v>590770.32499999995</v>
      </c>
      <c r="BG262" s="70">
        <f t="shared" si="267"/>
        <v>590059.27500000002</v>
      </c>
      <c r="BH262" s="70">
        <f t="shared" si="267"/>
        <v>590247.86499999999</v>
      </c>
      <c r="BI262" s="70">
        <f t="shared" si="267"/>
        <v>583847.74968749995</v>
      </c>
      <c r="BJ262" s="70">
        <f t="shared" si="267"/>
        <v>585062.09635416663</v>
      </c>
      <c r="BK262" s="70">
        <f t="shared" si="267"/>
        <v>574562.43187500001</v>
      </c>
      <c r="BL262" s="70">
        <f t="shared" si="267"/>
        <v>563103.29625000001</v>
      </c>
      <c r="BM262" s="70">
        <f t="shared" si="267"/>
        <v>548799.5229166667</v>
      </c>
      <c r="BN262" s="70">
        <f t="shared" si="267"/>
        <v>551524.0787500001</v>
      </c>
      <c r="BO262" s="70">
        <f t="shared" si="267"/>
        <v>549383.31312499999</v>
      </c>
      <c r="BP262" s="70">
        <f t="shared" si="267"/>
        <v>552473.83291666675</v>
      </c>
      <c r="BQ262" s="70">
        <f t="shared" si="267"/>
        <v>550265.6953125</v>
      </c>
      <c r="BR262" s="70">
        <f t="shared" si="267"/>
        <v>549306.7265625</v>
      </c>
      <c r="BS262" s="70">
        <f t="shared" si="267"/>
        <v>556427.44166666665</v>
      </c>
      <c r="BT262" s="70">
        <f t="shared" si="267"/>
        <v>565230.40062500001</v>
      </c>
      <c r="BU262" s="70">
        <f t="shared" si="267"/>
        <v>539825.22828124999</v>
      </c>
      <c r="BV262" s="70">
        <f t="shared" si="267"/>
        <v>550017.04119791673</v>
      </c>
      <c r="BW262" s="70">
        <f t="shared" si="267"/>
        <v>553737.28171875002</v>
      </c>
      <c r="BX262" s="70">
        <f t="shared" si="267"/>
        <v>554086.51609375002</v>
      </c>
      <c r="BY262" s="70">
        <f t="shared" si="267"/>
        <v>521357.58791666664</v>
      </c>
      <c r="BZ262" s="70">
        <f t="shared" si="267"/>
        <v>532662.80875000008</v>
      </c>
      <c r="CA262" s="70">
        <f t="shared" si="267"/>
        <v>508090.41328125005</v>
      </c>
      <c r="CB262" s="70">
        <f t="shared" si="267"/>
        <v>518295.17807291669</v>
      </c>
      <c r="CC262" s="70">
        <f t="shared" si="267"/>
        <v>522331.48046875</v>
      </c>
      <c r="CD262" s="70">
        <f t="shared" si="219"/>
        <v>550265.6953125</v>
      </c>
      <c r="CE262" s="70">
        <f t="shared" si="220"/>
        <v>522331.48046875</v>
      </c>
      <c r="CF262" s="2"/>
      <c r="CG262" s="70">
        <f t="shared" ref="CG262:DD262" si="268">CG260+CG261</f>
        <v>539115.67833333334</v>
      </c>
      <c r="CH262" s="70">
        <f t="shared" si="268"/>
        <v>551467.21302083333</v>
      </c>
      <c r="CI262" s="70">
        <f t="shared" si="268"/>
        <v>567369.05806250009</v>
      </c>
      <c r="CJ262" s="70">
        <f t="shared" si="268"/>
        <v>520447.90861458331</v>
      </c>
      <c r="CK262" s="70">
        <f t="shared" si="268"/>
        <v>540883.32636458334</v>
      </c>
      <c r="CL262" s="70">
        <f t="shared" si="268"/>
        <v>551947.88246875</v>
      </c>
      <c r="CM262" s="70">
        <f t="shared" si="268"/>
        <v>561912.96092708339</v>
      </c>
      <c r="CN262" s="70">
        <f t="shared" si="268"/>
        <v>509364.28789583332</v>
      </c>
      <c r="CO262" s="70">
        <f t="shared" si="268"/>
        <v>531530.7200625001</v>
      </c>
      <c r="CP262" s="70">
        <f t="shared" si="268"/>
        <v>490618.56173958333</v>
      </c>
      <c r="CQ262" s="70">
        <f t="shared" si="268"/>
        <v>514931.86361458333</v>
      </c>
      <c r="CR262" s="70">
        <f t="shared" si="268"/>
        <v>535264.42484374996</v>
      </c>
      <c r="CS262" s="70">
        <f t="shared" si="268"/>
        <v>556609.00242708344</v>
      </c>
      <c r="CT262" s="70">
        <f t="shared" si="268"/>
        <v>585206.49036458333</v>
      </c>
      <c r="CU262" s="70">
        <f t="shared" si="268"/>
        <v>616089.46465625009</v>
      </c>
      <c r="CV262" s="70">
        <f t="shared" si="268"/>
        <v>539539.0239583333</v>
      </c>
      <c r="CW262" s="70">
        <f t="shared" si="268"/>
        <v>573434.61195833341</v>
      </c>
      <c r="CX262" s="70">
        <f t="shared" si="268"/>
        <v>602284.17531249998</v>
      </c>
      <c r="CY262" s="70">
        <f t="shared" si="268"/>
        <v>628161.77502083336</v>
      </c>
      <c r="CZ262" s="70">
        <f t="shared" si="268"/>
        <v>546483.03473958338</v>
      </c>
      <c r="DA262" s="70">
        <f t="shared" si="268"/>
        <v>581671.32015625003</v>
      </c>
      <c r="DB262" s="70">
        <f t="shared" si="268"/>
        <v>507666.23458333343</v>
      </c>
      <c r="DC262" s="70">
        <f t="shared" si="268"/>
        <v>543006.95770833339</v>
      </c>
      <c r="DD262" s="70">
        <f t="shared" si="268"/>
        <v>573227.91218750004</v>
      </c>
      <c r="DE262" s="70">
        <f t="shared" si="222"/>
        <v>535264.42484374996</v>
      </c>
      <c r="DF262" s="70">
        <f t="shared" si="223"/>
        <v>573227.91218750004</v>
      </c>
      <c r="DG262"/>
      <c r="DH262"/>
    </row>
    <row r="263" spans="1:112" hidden="1" x14ac:dyDescent="0.2">
      <c r="A263" s="1"/>
      <c r="B263" s="35" t="s">
        <v>185</v>
      </c>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2"/>
      <c r="AE263" s="69">
        <f>smp_open_sc</f>
        <v>200000</v>
      </c>
      <c r="AF263" s="69">
        <f t="shared" ref="AF263:BB263" si="269">AE264</f>
        <v>200000</v>
      </c>
      <c r="AG263" s="69">
        <f t="shared" si="269"/>
        <v>200000</v>
      </c>
      <c r="AH263" s="69">
        <f t="shared" si="269"/>
        <v>200000</v>
      </c>
      <c r="AI263" s="69">
        <f t="shared" si="269"/>
        <v>200000</v>
      </c>
      <c r="AJ263" s="69">
        <f t="shared" si="269"/>
        <v>200000</v>
      </c>
      <c r="AK263" s="69">
        <f t="shared" si="269"/>
        <v>200000</v>
      </c>
      <c r="AL263" s="69">
        <f t="shared" si="269"/>
        <v>200000</v>
      </c>
      <c r="AM263" s="69">
        <f t="shared" si="269"/>
        <v>200000</v>
      </c>
      <c r="AN263" s="69">
        <f t="shared" si="269"/>
        <v>200000</v>
      </c>
      <c r="AO263" s="69">
        <f t="shared" si="269"/>
        <v>200000</v>
      </c>
      <c r="AP263" s="69">
        <f t="shared" si="269"/>
        <v>200000</v>
      </c>
      <c r="AQ263" s="69">
        <f t="shared" si="269"/>
        <v>200000</v>
      </c>
      <c r="AR263" s="69">
        <f t="shared" si="269"/>
        <v>200000</v>
      </c>
      <c r="AS263" s="69">
        <f t="shared" si="269"/>
        <v>200000</v>
      </c>
      <c r="AT263" s="69">
        <f t="shared" si="269"/>
        <v>200000</v>
      </c>
      <c r="AU263" s="69">
        <f t="shared" si="269"/>
        <v>200000</v>
      </c>
      <c r="AV263" s="69">
        <f t="shared" si="269"/>
        <v>200000</v>
      </c>
      <c r="AW263" s="69">
        <f t="shared" si="269"/>
        <v>200000</v>
      </c>
      <c r="AX263" s="69">
        <f t="shared" si="269"/>
        <v>200000</v>
      </c>
      <c r="AY263" s="69">
        <f t="shared" si="269"/>
        <v>200000</v>
      </c>
      <c r="AZ263" s="69">
        <f t="shared" si="269"/>
        <v>200000</v>
      </c>
      <c r="BA263" s="69">
        <f t="shared" si="269"/>
        <v>200000</v>
      </c>
      <c r="BB263" s="69">
        <f t="shared" si="269"/>
        <v>200000</v>
      </c>
      <c r="BC263" s="70">
        <f t="shared" si="216"/>
        <v>200000</v>
      </c>
      <c r="BD263" s="70">
        <f t="shared" si="217"/>
        <v>200000</v>
      </c>
      <c r="BE263" s="2"/>
      <c r="BF263" s="69">
        <f>smp_open_sc</f>
        <v>200000</v>
      </c>
      <c r="BG263" s="69">
        <f t="shared" ref="BG263:CC263" si="270">BF264</f>
        <v>200000</v>
      </c>
      <c r="BH263" s="69">
        <f t="shared" si="270"/>
        <v>200000</v>
      </c>
      <c r="BI263" s="69">
        <f t="shared" si="270"/>
        <v>200000</v>
      </c>
      <c r="BJ263" s="69">
        <f t="shared" si="270"/>
        <v>200000</v>
      </c>
      <c r="BK263" s="69">
        <f t="shared" si="270"/>
        <v>200000</v>
      </c>
      <c r="BL263" s="69">
        <f t="shared" si="270"/>
        <v>200000</v>
      </c>
      <c r="BM263" s="69">
        <f t="shared" si="270"/>
        <v>200000</v>
      </c>
      <c r="BN263" s="69">
        <f t="shared" si="270"/>
        <v>200000</v>
      </c>
      <c r="BO263" s="69">
        <f t="shared" si="270"/>
        <v>200000</v>
      </c>
      <c r="BP263" s="69">
        <f t="shared" si="270"/>
        <v>200000</v>
      </c>
      <c r="BQ263" s="69">
        <f t="shared" si="270"/>
        <v>200000</v>
      </c>
      <c r="BR263" s="69">
        <f t="shared" si="270"/>
        <v>200000</v>
      </c>
      <c r="BS263" s="69">
        <f t="shared" si="270"/>
        <v>200000</v>
      </c>
      <c r="BT263" s="69">
        <f t="shared" si="270"/>
        <v>200000</v>
      </c>
      <c r="BU263" s="69">
        <f t="shared" si="270"/>
        <v>200000</v>
      </c>
      <c r="BV263" s="69">
        <f t="shared" si="270"/>
        <v>200000</v>
      </c>
      <c r="BW263" s="69">
        <f t="shared" si="270"/>
        <v>200000</v>
      </c>
      <c r="BX263" s="69">
        <f t="shared" si="270"/>
        <v>200000</v>
      </c>
      <c r="BY263" s="69">
        <f t="shared" si="270"/>
        <v>200000</v>
      </c>
      <c r="BZ263" s="69">
        <f t="shared" si="270"/>
        <v>200000</v>
      </c>
      <c r="CA263" s="69">
        <f t="shared" si="270"/>
        <v>200000</v>
      </c>
      <c r="CB263" s="69">
        <f t="shared" si="270"/>
        <v>200000</v>
      </c>
      <c r="CC263" s="69">
        <f t="shared" si="270"/>
        <v>200000</v>
      </c>
      <c r="CD263" s="70">
        <f t="shared" si="219"/>
        <v>200000</v>
      </c>
      <c r="CE263" s="70">
        <f t="shared" si="220"/>
        <v>200000</v>
      </c>
      <c r="CF263" s="2"/>
      <c r="CG263" s="69">
        <f>smp_open_sc</f>
        <v>200000</v>
      </c>
      <c r="CH263" s="69">
        <f t="shared" ref="CH263:DD263" si="271">CG264</f>
        <v>200000</v>
      </c>
      <c r="CI263" s="69">
        <f t="shared" si="271"/>
        <v>200000</v>
      </c>
      <c r="CJ263" s="69">
        <f t="shared" si="271"/>
        <v>200000</v>
      </c>
      <c r="CK263" s="69">
        <f t="shared" si="271"/>
        <v>200000</v>
      </c>
      <c r="CL263" s="69">
        <f t="shared" si="271"/>
        <v>200000</v>
      </c>
      <c r="CM263" s="69">
        <f t="shared" si="271"/>
        <v>200000</v>
      </c>
      <c r="CN263" s="69">
        <f t="shared" si="271"/>
        <v>200000</v>
      </c>
      <c r="CO263" s="69">
        <f t="shared" si="271"/>
        <v>200000</v>
      </c>
      <c r="CP263" s="69">
        <f t="shared" si="271"/>
        <v>200000</v>
      </c>
      <c r="CQ263" s="69">
        <f t="shared" si="271"/>
        <v>200000</v>
      </c>
      <c r="CR263" s="69">
        <f t="shared" si="271"/>
        <v>200000</v>
      </c>
      <c r="CS263" s="69">
        <f t="shared" si="271"/>
        <v>200000</v>
      </c>
      <c r="CT263" s="69">
        <f t="shared" si="271"/>
        <v>200000</v>
      </c>
      <c r="CU263" s="69">
        <f t="shared" si="271"/>
        <v>200000</v>
      </c>
      <c r="CV263" s="69">
        <f t="shared" si="271"/>
        <v>200000</v>
      </c>
      <c r="CW263" s="69">
        <f t="shared" si="271"/>
        <v>200000</v>
      </c>
      <c r="CX263" s="69">
        <f t="shared" si="271"/>
        <v>200000</v>
      </c>
      <c r="CY263" s="69">
        <f t="shared" si="271"/>
        <v>200000</v>
      </c>
      <c r="CZ263" s="69">
        <f t="shared" si="271"/>
        <v>200000</v>
      </c>
      <c r="DA263" s="69">
        <f t="shared" si="271"/>
        <v>200000</v>
      </c>
      <c r="DB263" s="69">
        <f t="shared" si="271"/>
        <v>200000</v>
      </c>
      <c r="DC263" s="69">
        <f t="shared" si="271"/>
        <v>200000</v>
      </c>
      <c r="DD263" s="69">
        <f t="shared" si="271"/>
        <v>200000</v>
      </c>
      <c r="DE263" s="70">
        <f t="shared" si="222"/>
        <v>200000</v>
      </c>
      <c r="DF263" s="70">
        <f t="shared" si="223"/>
        <v>200000</v>
      </c>
      <c r="DG263"/>
      <c r="DH263"/>
    </row>
    <row r="264" spans="1:112" hidden="1" x14ac:dyDescent="0.2">
      <c r="A264" s="1"/>
      <c r="B264" s="35" t="s">
        <v>186</v>
      </c>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2"/>
      <c r="AE264" s="69">
        <f t="shared" ref="AE264:BB264" si="272">AE263+AE244</f>
        <v>200000</v>
      </c>
      <c r="AF264" s="69">
        <f t="shared" si="272"/>
        <v>200000</v>
      </c>
      <c r="AG264" s="69">
        <f t="shared" si="272"/>
        <v>200000</v>
      </c>
      <c r="AH264" s="69">
        <f t="shared" si="272"/>
        <v>200000</v>
      </c>
      <c r="AI264" s="69">
        <f t="shared" si="272"/>
        <v>200000</v>
      </c>
      <c r="AJ264" s="69">
        <f t="shared" si="272"/>
        <v>200000</v>
      </c>
      <c r="AK264" s="69">
        <f t="shared" si="272"/>
        <v>200000</v>
      </c>
      <c r="AL264" s="69">
        <f t="shared" si="272"/>
        <v>200000</v>
      </c>
      <c r="AM264" s="69">
        <f t="shared" si="272"/>
        <v>200000</v>
      </c>
      <c r="AN264" s="69">
        <f t="shared" si="272"/>
        <v>200000</v>
      </c>
      <c r="AO264" s="69">
        <f t="shared" si="272"/>
        <v>200000</v>
      </c>
      <c r="AP264" s="69">
        <f t="shared" si="272"/>
        <v>200000</v>
      </c>
      <c r="AQ264" s="69">
        <f t="shared" si="272"/>
        <v>200000</v>
      </c>
      <c r="AR264" s="69">
        <f t="shared" si="272"/>
        <v>200000</v>
      </c>
      <c r="AS264" s="69">
        <f t="shared" si="272"/>
        <v>200000</v>
      </c>
      <c r="AT264" s="69">
        <f t="shared" si="272"/>
        <v>200000</v>
      </c>
      <c r="AU264" s="69">
        <f t="shared" si="272"/>
        <v>200000</v>
      </c>
      <c r="AV264" s="69">
        <f t="shared" si="272"/>
        <v>200000</v>
      </c>
      <c r="AW264" s="69">
        <f t="shared" si="272"/>
        <v>200000</v>
      </c>
      <c r="AX264" s="69">
        <f t="shared" si="272"/>
        <v>200000</v>
      </c>
      <c r="AY264" s="69">
        <f t="shared" si="272"/>
        <v>200000</v>
      </c>
      <c r="AZ264" s="69">
        <f t="shared" si="272"/>
        <v>200000</v>
      </c>
      <c r="BA264" s="69">
        <f t="shared" si="272"/>
        <v>200000</v>
      </c>
      <c r="BB264" s="69">
        <f t="shared" si="272"/>
        <v>200000</v>
      </c>
      <c r="BC264" s="70">
        <f t="shared" si="216"/>
        <v>200000</v>
      </c>
      <c r="BD264" s="70">
        <f t="shared" si="217"/>
        <v>200000</v>
      </c>
      <c r="BE264" s="2"/>
      <c r="BF264" s="69">
        <f t="shared" ref="BF264:CC264" si="273">BF263+BF244</f>
        <v>200000</v>
      </c>
      <c r="BG264" s="69">
        <f t="shared" si="273"/>
        <v>200000</v>
      </c>
      <c r="BH264" s="69">
        <f t="shared" si="273"/>
        <v>200000</v>
      </c>
      <c r="BI264" s="69">
        <f t="shared" si="273"/>
        <v>200000</v>
      </c>
      <c r="BJ264" s="69">
        <f t="shared" si="273"/>
        <v>200000</v>
      </c>
      <c r="BK264" s="69">
        <f t="shared" si="273"/>
        <v>200000</v>
      </c>
      <c r="BL264" s="69">
        <f t="shared" si="273"/>
        <v>200000</v>
      </c>
      <c r="BM264" s="69">
        <f t="shared" si="273"/>
        <v>200000</v>
      </c>
      <c r="BN264" s="69">
        <f t="shared" si="273"/>
        <v>200000</v>
      </c>
      <c r="BO264" s="69">
        <f t="shared" si="273"/>
        <v>200000</v>
      </c>
      <c r="BP264" s="69">
        <f t="shared" si="273"/>
        <v>200000</v>
      </c>
      <c r="BQ264" s="69">
        <f t="shared" si="273"/>
        <v>200000</v>
      </c>
      <c r="BR264" s="69">
        <f t="shared" si="273"/>
        <v>200000</v>
      </c>
      <c r="BS264" s="69">
        <f t="shared" si="273"/>
        <v>200000</v>
      </c>
      <c r="BT264" s="69">
        <f t="shared" si="273"/>
        <v>200000</v>
      </c>
      <c r="BU264" s="69">
        <f t="shared" si="273"/>
        <v>200000</v>
      </c>
      <c r="BV264" s="69">
        <f t="shared" si="273"/>
        <v>200000</v>
      </c>
      <c r="BW264" s="69">
        <f t="shared" si="273"/>
        <v>200000</v>
      </c>
      <c r="BX264" s="69">
        <f t="shared" si="273"/>
        <v>200000</v>
      </c>
      <c r="BY264" s="69">
        <f t="shared" si="273"/>
        <v>200000</v>
      </c>
      <c r="BZ264" s="69">
        <f t="shared" si="273"/>
        <v>200000</v>
      </c>
      <c r="CA264" s="69">
        <f t="shared" si="273"/>
        <v>200000</v>
      </c>
      <c r="CB264" s="69">
        <f t="shared" si="273"/>
        <v>200000</v>
      </c>
      <c r="CC264" s="69">
        <f t="shared" si="273"/>
        <v>200000</v>
      </c>
      <c r="CD264" s="70">
        <f t="shared" si="219"/>
        <v>200000</v>
      </c>
      <c r="CE264" s="70">
        <f t="shared" si="220"/>
        <v>200000</v>
      </c>
      <c r="CF264" s="2"/>
      <c r="CG264" s="69">
        <f t="shared" ref="CG264:DD264" si="274">CG263+CG244</f>
        <v>200000</v>
      </c>
      <c r="CH264" s="69">
        <f t="shared" si="274"/>
        <v>200000</v>
      </c>
      <c r="CI264" s="69">
        <f t="shared" si="274"/>
        <v>200000</v>
      </c>
      <c r="CJ264" s="69">
        <f t="shared" si="274"/>
        <v>200000</v>
      </c>
      <c r="CK264" s="69">
        <f t="shared" si="274"/>
        <v>200000</v>
      </c>
      <c r="CL264" s="69">
        <f t="shared" si="274"/>
        <v>200000</v>
      </c>
      <c r="CM264" s="69">
        <f t="shared" si="274"/>
        <v>200000</v>
      </c>
      <c r="CN264" s="69">
        <f t="shared" si="274"/>
        <v>200000</v>
      </c>
      <c r="CO264" s="69">
        <f t="shared" si="274"/>
        <v>200000</v>
      </c>
      <c r="CP264" s="69">
        <f t="shared" si="274"/>
        <v>200000</v>
      </c>
      <c r="CQ264" s="69">
        <f t="shared" si="274"/>
        <v>200000</v>
      </c>
      <c r="CR264" s="69">
        <f t="shared" si="274"/>
        <v>200000</v>
      </c>
      <c r="CS264" s="69">
        <f t="shared" si="274"/>
        <v>200000</v>
      </c>
      <c r="CT264" s="69">
        <f t="shared" si="274"/>
        <v>200000</v>
      </c>
      <c r="CU264" s="69">
        <f t="shared" si="274"/>
        <v>200000</v>
      </c>
      <c r="CV264" s="69">
        <f t="shared" si="274"/>
        <v>200000</v>
      </c>
      <c r="CW264" s="69">
        <f t="shared" si="274"/>
        <v>200000</v>
      </c>
      <c r="CX264" s="69">
        <f t="shared" si="274"/>
        <v>200000</v>
      </c>
      <c r="CY264" s="69">
        <f t="shared" si="274"/>
        <v>200000</v>
      </c>
      <c r="CZ264" s="69">
        <f t="shared" si="274"/>
        <v>200000</v>
      </c>
      <c r="DA264" s="69">
        <f t="shared" si="274"/>
        <v>200000</v>
      </c>
      <c r="DB264" s="69">
        <f t="shared" si="274"/>
        <v>200000</v>
      </c>
      <c r="DC264" s="69">
        <f t="shared" si="274"/>
        <v>200000</v>
      </c>
      <c r="DD264" s="69">
        <f t="shared" si="274"/>
        <v>200000</v>
      </c>
      <c r="DE264" s="70">
        <f t="shared" si="222"/>
        <v>200000</v>
      </c>
      <c r="DF264" s="70">
        <f t="shared" si="223"/>
        <v>200000</v>
      </c>
      <c r="DG264"/>
      <c r="DH264"/>
    </row>
    <row r="265" spans="1:112" hidden="1" x14ac:dyDescent="0.2">
      <c r="A265" s="1"/>
      <c r="B265" s="35" t="s">
        <v>187</v>
      </c>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2"/>
      <c r="AE265" s="69">
        <f t="shared" ref="AE265:BB265" si="275">AE264</f>
        <v>200000</v>
      </c>
      <c r="AF265" s="69">
        <f t="shared" si="275"/>
        <v>200000</v>
      </c>
      <c r="AG265" s="69">
        <f t="shared" si="275"/>
        <v>200000</v>
      </c>
      <c r="AH265" s="69">
        <f t="shared" si="275"/>
        <v>200000</v>
      </c>
      <c r="AI265" s="69">
        <f t="shared" si="275"/>
        <v>200000</v>
      </c>
      <c r="AJ265" s="69">
        <f t="shared" si="275"/>
        <v>200000</v>
      </c>
      <c r="AK265" s="69">
        <f t="shared" si="275"/>
        <v>200000</v>
      </c>
      <c r="AL265" s="69">
        <f t="shared" si="275"/>
        <v>200000</v>
      </c>
      <c r="AM265" s="69">
        <f t="shared" si="275"/>
        <v>200000</v>
      </c>
      <c r="AN265" s="69">
        <f t="shared" si="275"/>
        <v>200000</v>
      </c>
      <c r="AO265" s="69">
        <f t="shared" si="275"/>
        <v>200000</v>
      </c>
      <c r="AP265" s="69">
        <f t="shared" si="275"/>
        <v>200000</v>
      </c>
      <c r="AQ265" s="69">
        <f t="shared" si="275"/>
        <v>200000</v>
      </c>
      <c r="AR265" s="69">
        <f t="shared" si="275"/>
        <v>200000</v>
      </c>
      <c r="AS265" s="69">
        <f t="shared" si="275"/>
        <v>200000</v>
      </c>
      <c r="AT265" s="69">
        <f t="shared" si="275"/>
        <v>200000</v>
      </c>
      <c r="AU265" s="69">
        <f t="shared" si="275"/>
        <v>200000</v>
      </c>
      <c r="AV265" s="69">
        <f t="shared" si="275"/>
        <v>200000</v>
      </c>
      <c r="AW265" s="69">
        <f t="shared" si="275"/>
        <v>200000</v>
      </c>
      <c r="AX265" s="69">
        <f t="shared" si="275"/>
        <v>200000</v>
      </c>
      <c r="AY265" s="69">
        <f t="shared" si="275"/>
        <v>200000</v>
      </c>
      <c r="AZ265" s="69">
        <f t="shared" si="275"/>
        <v>200000</v>
      </c>
      <c r="BA265" s="69">
        <f t="shared" si="275"/>
        <v>200000</v>
      </c>
      <c r="BB265" s="69">
        <f t="shared" si="275"/>
        <v>200000</v>
      </c>
      <c r="BC265" s="70">
        <f t="shared" si="216"/>
        <v>200000</v>
      </c>
      <c r="BD265" s="70">
        <f t="shared" si="217"/>
        <v>200000</v>
      </c>
      <c r="BE265" s="2"/>
      <c r="BF265" s="69">
        <f t="shared" ref="BF265:CC265" si="276">BF264</f>
        <v>200000</v>
      </c>
      <c r="BG265" s="69">
        <f t="shared" si="276"/>
        <v>200000</v>
      </c>
      <c r="BH265" s="69">
        <f t="shared" si="276"/>
        <v>200000</v>
      </c>
      <c r="BI265" s="69">
        <f t="shared" si="276"/>
        <v>200000</v>
      </c>
      <c r="BJ265" s="69">
        <f t="shared" si="276"/>
        <v>200000</v>
      </c>
      <c r="BK265" s="69">
        <f t="shared" si="276"/>
        <v>200000</v>
      </c>
      <c r="BL265" s="69">
        <f t="shared" si="276"/>
        <v>200000</v>
      </c>
      <c r="BM265" s="69">
        <f t="shared" si="276"/>
        <v>200000</v>
      </c>
      <c r="BN265" s="69">
        <f t="shared" si="276"/>
        <v>200000</v>
      </c>
      <c r="BO265" s="69">
        <f t="shared" si="276"/>
        <v>200000</v>
      </c>
      <c r="BP265" s="69">
        <f t="shared" si="276"/>
        <v>200000</v>
      </c>
      <c r="BQ265" s="69">
        <f t="shared" si="276"/>
        <v>200000</v>
      </c>
      <c r="BR265" s="69">
        <f t="shared" si="276"/>
        <v>200000</v>
      </c>
      <c r="BS265" s="69">
        <f t="shared" si="276"/>
        <v>200000</v>
      </c>
      <c r="BT265" s="69">
        <f t="shared" si="276"/>
        <v>200000</v>
      </c>
      <c r="BU265" s="69">
        <f t="shared" si="276"/>
        <v>200000</v>
      </c>
      <c r="BV265" s="69">
        <f t="shared" si="276"/>
        <v>200000</v>
      </c>
      <c r="BW265" s="69">
        <f t="shared" si="276"/>
        <v>200000</v>
      </c>
      <c r="BX265" s="69">
        <f t="shared" si="276"/>
        <v>200000</v>
      </c>
      <c r="BY265" s="69">
        <f t="shared" si="276"/>
        <v>200000</v>
      </c>
      <c r="BZ265" s="69">
        <f t="shared" si="276"/>
        <v>200000</v>
      </c>
      <c r="CA265" s="69">
        <f t="shared" si="276"/>
        <v>200000</v>
      </c>
      <c r="CB265" s="69">
        <f t="shared" si="276"/>
        <v>200000</v>
      </c>
      <c r="CC265" s="69">
        <f t="shared" si="276"/>
        <v>200000</v>
      </c>
      <c r="CD265" s="70">
        <f t="shared" si="219"/>
        <v>200000</v>
      </c>
      <c r="CE265" s="70">
        <f t="shared" si="220"/>
        <v>200000</v>
      </c>
      <c r="CF265" s="2"/>
      <c r="CG265" s="69">
        <f t="shared" ref="CG265:DD265" si="277">CG264</f>
        <v>200000</v>
      </c>
      <c r="CH265" s="69">
        <f t="shared" si="277"/>
        <v>200000</v>
      </c>
      <c r="CI265" s="69">
        <f t="shared" si="277"/>
        <v>200000</v>
      </c>
      <c r="CJ265" s="69">
        <f t="shared" si="277"/>
        <v>200000</v>
      </c>
      <c r="CK265" s="69">
        <f t="shared" si="277"/>
        <v>200000</v>
      </c>
      <c r="CL265" s="69">
        <f t="shared" si="277"/>
        <v>200000</v>
      </c>
      <c r="CM265" s="69">
        <f t="shared" si="277"/>
        <v>200000</v>
      </c>
      <c r="CN265" s="69">
        <f t="shared" si="277"/>
        <v>200000</v>
      </c>
      <c r="CO265" s="69">
        <f t="shared" si="277"/>
        <v>200000</v>
      </c>
      <c r="CP265" s="69">
        <f t="shared" si="277"/>
        <v>200000</v>
      </c>
      <c r="CQ265" s="69">
        <f t="shared" si="277"/>
        <v>200000</v>
      </c>
      <c r="CR265" s="69">
        <f t="shared" si="277"/>
        <v>200000</v>
      </c>
      <c r="CS265" s="69">
        <f t="shared" si="277"/>
        <v>200000</v>
      </c>
      <c r="CT265" s="69">
        <f t="shared" si="277"/>
        <v>200000</v>
      </c>
      <c r="CU265" s="69">
        <f t="shared" si="277"/>
        <v>200000</v>
      </c>
      <c r="CV265" s="69">
        <f t="shared" si="277"/>
        <v>200000</v>
      </c>
      <c r="CW265" s="69">
        <f t="shared" si="277"/>
        <v>200000</v>
      </c>
      <c r="CX265" s="69">
        <f t="shared" si="277"/>
        <v>200000</v>
      </c>
      <c r="CY265" s="69">
        <f t="shared" si="277"/>
        <v>200000</v>
      </c>
      <c r="CZ265" s="69">
        <f t="shared" si="277"/>
        <v>200000</v>
      </c>
      <c r="DA265" s="69">
        <f t="shared" si="277"/>
        <v>200000</v>
      </c>
      <c r="DB265" s="69">
        <f t="shared" si="277"/>
        <v>200000</v>
      </c>
      <c r="DC265" s="69">
        <f t="shared" si="277"/>
        <v>200000</v>
      </c>
      <c r="DD265" s="69">
        <f t="shared" si="277"/>
        <v>200000</v>
      </c>
      <c r="DE265" s="70">
        <f t="shared" si="222"/>
        <v>200000</v>
      </c>
      <c r="DF265" s="70">
        <f t="shared" si="223"/>
        <v>200000</v>
      </c>
      <c r="DG265"/>
      <c r="DH265"/>
    </row>
    <row r="266" spans="1:112" hidden="1" x14ac:dyDescent="0.2">
      <c r="A266" s="1"/>
      <c r="B266" s="35" t="s">
        <v>188</v>
      </c>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2"/>
      <c r="AE266" s="69">
        <f>smp_open_re</f>
        <v>603000</v>
      </c>
      <c r="AF266" s="69">
        <f t="shared" ref="AF266:BB266" si="278">AE267</f>
        <v>611456.25</v>
      </c>
      <c r="AG266" s="69">
        <f t="shared" si="278"/>
        <v>626631.76906249998</v>
      </c>
      <c r="AH266" s="69">
        <f t="shared" si="278"/>
        <v>649486.55718749994</v>
      </c>
      <c r="AI266" s="69">
        <f t="shared" si="278"/>
        <v>679480.614375</v>
      </c>
      <c r="AJ266" s="69">
        <f t="shared" si="278"/>
        <v>716103.94062500005</v>
      </c>
      <c r="AK266" s="69">
        <f t="shared" si="278"/>
        <v>751136.53593750007</v>
      </c>
      <c r="AL266" s="69">
        <f t="shared" si="278"/>
        <v>784068.40031250007</v>
      </c>
      <c r="AM266" s="69">
        <f t="shared" si="278"/>
        <v>817442.03375000006</v>
      </c>
      <c r="AN266" s="69">
        <f t="shared" si="278"/>
        <v>857954.93625000003</v>
      </c>
      <c r="AO266" s="69">
        <f t="shared" si="278"/>
        <v>905127.10781250009</v>
      </c>
      <c r="AP266" s="69">
        <f t="shared" si="278"/>
        <v>957406.04843750014</v>
      </c>
      <c r="AQ266" s="69">
        <f t="shared" si="278"/>
        <v>980636.75812500017</v>
      </c>
      <c r="AR266" s="69">
        <f t="shared" si="278"/>
        <v>1034106.7368750002</v>
      </c>
      <c r="AS266" s="69">
        <f t="shared" si="278"/>
        <v>1093725.9846875002</v>
      </c>
      <c r="AT266" s="69">
        <f t="shared" si="278"/>
        <v>1159494.5015625001</v>
      </c>
      <c r="AU266" s="69">
        <f t="shared" si="278"/>
        <v>1232402.2875000001</v>
      </c>
      <c r="AV266" s="69">
        <f t="shared" si="278"/>
        <v>1310386.8425</v>
      </c>
      <c r="AW266" s="69">
        <f t="shared" si="278"/>
        <v>1388333.1665624999</v>
      </c>
      <c r="AX266" s="69">
        <f t="shared" si="278"/>
        <v>1464178.7596875001</v>
      </c>
      <c r="AY266" s="69">
        <f t="shared" si="278"/>
        <v>1540976.1218750002</v>
      </c>
      <c r="AZ266" s="69">
        <f t="shared" si="278"/>
        <v>1621942.7531250003</v>
      </c>
      <c r="BA266" s="69">
        <f t="shared" si="278"/>
        <v>1707078.6534375004</v>
      </c>
      <c r="BB266" s="69">
        <f t="shared" si="278"/>
        <v>1794321.3228125004</v>
      </c>
      <c r="BC266" s="70">
        <f t="shared" si="216"/>
        <v>957406.04843750014</v>
      </c>
      <c r="BD266" s="70">
        <f t="shared" si="217"/>
        <v>1794321.3228125004</v>
      </c>
      <c r="BE266" s="2"/>
      <c r="BF266" s="69">
        <f>smp_open_re</f>
        <v>603000</v>
      </c>
      <c r="BG266" s="69">
        <f t="shared" ref="BG266:CC266" si="279">BF267</f>
        <v>571235.125</v>
      </c>
      <c r="BH266" s="69">
        <f t="shared" si="279"/>
        <v>546835.02541666664</v>
      </c>
      <c r="BI266" s="69">
        <f t="shared" si="279"/>
        <v>530857.10124999995</v>
      </c>
      <c r="BJ266" s="69">
        <f t="shared" si="279"/>
        <v>522701.25249999994</v>
      </c>
      <c r="BK266" s="69">
        <f t="shared" si="279"/>
        <v>520027.62249999994</v>
      </c>
      <c r="BL266" s="69">
        <f t="shared" si="279"/>
        <v>516098.39906249993</v>
      </c>
      <c r="BM266" s="69">
        <f t="shared" si="279"/>
        <v>510490.28218749992</v>
      </c>
      <c r="BN266" s="69">
        <f t="shared" si="279"/>
        <v>505281.20312499988</v>
      </c>
      <c r="BO266" s="69">
        <f t="shared" si="279"/>
        <v>505938.68062499986</v>
      </c>
      <c r="BP266" s="69">
        <f t="shared" si="279"/>
        <v>512066.18968749989</v>
      </c>
      <c r="BQ266" s="69">
        <f t="shared" si="279"/>
        <v>522405.62406249985</v>
      </c>
      <c r="BR266" s="69">
        <f t="shared" si="279"/>
        <v>503567.39624999987</v>
      </c>
      <c r="BS266" s="69">
        <f t="shared" si="279"/>
        <v>514915.59999999986</v>
      </c>
      <c r="BT266" s="69">
        <f t="shared" si="279"/>
        <v>531310.53531249985</v>
      </c>
      <c r="BU266" s="69">
        <f t="shared" si="279"/>
        <v>552752.20218749985</v>
      </c>
      <c r="BV266" s="69">
        <f t="shared" si="279"/>
        <v>580060.4256249998</v>
      </c>
      <c r="BW266" s="69">
        <f t="shared" si="279"/>
        <v>611553.79937499983</v>
      </c>
      <c r="BX266" s="69">
        <f t="shared" si="279"/>
        <v>643049.68593749986</v>
      </c>
      <c r="BY266" s="69">
        <f t="shared" si="279"/>
        <v>672866.6790624999</v>
      </c>
      <c r="BZ266" s="69">
        <f t="shared" si="279"/>
        <v>703506.00999999989</v>
      </c>
      <c r="CA266" s="69">
        <f t="shared" si="279"/>
        <v>737552.42249999987</v>
      </c>
      <c r="CB266" s="69">
        <f t="shared" si="279"/>
        <v>775005.91656249983</v>
      </c>
      <c r="CC266" s="69">
        <f t="shared" si="279"/>
        <v>814185.08593749977</v>
      </c>
      <c r="CD266" s="70">
        <f t="shared" si="219"/>
        <v>522405.62406249985</v>
      </c>
      <c r="CE266" s="70">
        <f t="shared" si="220"/>
        <v>814185.08593749977</v>
      </c>
      <c r="CF266" s="2"/>
      <c r="CG266" s="69">
        <f>smp_open_re</f>
        <v>603000</v>
      </c>
      <c r="CH266" s="69">
        <f t="shared" ref="CH266:DD266" si="280">CG267</f>
        <v>631811.52500000002</v>
      </c>
      <c r="CI266" s="69">
        <f t="shared" si="280"/>
        <v>668110.46906250005</v>
      </c>
      <c r="CJ266" s="69">
        <f t="shared" si="280"/>
        <v>712964.71218749997</v>
      </c>
      <c r="CK266" s="69">
        <f t="shared" si="280"/>
        <v>765775.63437500002</v>
      </c>
      <c r="CL266" s="69">
        <f t="shared" si="280"/>
        <v>825976.95562500006</v>
      </c>
      <c r="CM266" s="69">
        <f t="shared" si="280"/>
        <v>884377.51593750005</v>
      </c>
      <c r="CN266" s="69">
        <f t="shared" si="280"/>
        <v>940411.03531250008</v>
      </c>
      <c r="CO266" s="69">
        <f t="shared" si="280"/>
        <v>996917.3287500001</v>
      </c>
      <c r="CP266" s="69">
        <f t="shared" si="280"/>
        <v>1061380.30125</v>
      </c>
      <c r="CQ266" s="69">
        <f t="shared" si="280"/>
        <v>1133266.0128125001</v>
      </c>
      <c r="CR266" s="69">
        <f t="shared" si="280"/>
        <v>1210834.8684375002</v>
      </c>
      <c r="CS266" s="69">
        <f t="shared" si="280"/>
        <v>1259442.7781250002</v>
      </c>
      <c r="CT266" s="69">
        <f t="shared" si="280"/>
        <v>1338321.6668750001</v>
      </c>
      <c r="CU266" s="69">
        <f t="shared" si="280"/>
        <v>1424057.0146875002</v>
      </c>
      <c r="CV266" s="69">
        <f t="shared" si="280"/>
        <v>1516648.8215625002</v>
      </c>
      <c r="CW266" s="69">
        <f t="shared" si="280"/>
        <v>1617197.3075000001</v>
      </c>
      <c r="CX266" s="69">
        <f t="shared" si="280"/>
        <v>1723396.5975000001</v>
      </c>
      <c r="CY266" s="69">
        <f t="shared" si="280"/>
        <v>1829534.7215625001</v>
      </c>
      <c r="CZ266" s="69">
        <f t="shared" si="280"/>
        <v>1933305.8046875</v>
      </c>
      <c r="DA266" s="69">
        <f t="shared" si="280"/>
        <v>2038115.941875</v>
      </c>
      <c r="DB266" s="69">
        <f t="shared" si="280"/>
        <v>2147582.098125</v>
      </c>
      <c r="DC266" s="69">
        <f t="shared" si="280"/>
        <v>2261704.2734375</v>
      </c>
      <c r="DD266" s="69">
        <f t="shared" si="280"/>
        <v>2378176.5928125</v>
      </c>
      <c r="DE266" s="70">
        <f t="shared" si="222"/>
        <v>1210834.8684375002</v>
      </c>
      <c r="DF266" s="70">
        <f t="shared" si="223"/>
        <v>2378176.5928125</v>
      </c>
      <c r="DG266"/>
      <c r="DH266"/>
    </row>
    <row r="267" spans="1:112" hidden="1" x14ac:dyDescent="0.2">
      <c r="A267" s="1"/>
      <c r="B267" s="35" t="s">
        <v>189</v>
      </c>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2"/>
      <c r="AE267" s="69">
        <f t="shared" ref="AE267:BB267" si="281">AE266+AE219-AE243</f>
        <v>611456.25</v>
      </c>
      <c r="AF267" s="69">
        <f t="shared" si="281"/>
        <v>626631.76906249998</v>
      </c>
      <c r="AG267" s="69">
        <f t="shared" si="281"/>
        <v>649486.55718749994</v>
      </c>
      <c r="AH267" s="69">
        <f t="shared" si="281"/>
        <v>679480.614375</v>
      </c>
      <c r="AI267" s="69">
        <f t="shared" si="281"/>
        <v>716103.94062500005</v>
      </c>
      <c r="AJ267" s="69">
        <f t="shared" si="281"/>
        <v>751136.53593750007</v>
      </c>
      <c r="AK267" s="69">
        <f t="shared" si="281"/>
        <v>784068.40031250007</v>
      </c>
      <c r="AL267" s="69">
        <f t="shared" si="281"/>
        <v>817442.03375000006</v>
      </c>
      <c r="AM267" s="69">
        <f t="shared" si="281"/>
        <v>857954.93625000003</v>
      </c>
      <c r="AN267" s="69">
        <f t="shared" si="281"/>
        <v>905127.10781250009</v>
      </c>
      <c r="AO267" s="69">
        <f t="shared" si="281"/>
        <v>957406.04843750014</v>
      </c>
      <c r="AP267" s="69">
        <f t="shared" si="281"/>
        <v>980636.75812500017</v>
      </c>
      <c r="AQ267" s="69">
        <f t="shared" si="281"/>
        <v>1034106.7368750002</v>
      </c>
      <c r="AR267" s="69">
        <f t="shared" si="281"/>
        <v>1093725.9846875002</v>
      </c>
      <c r="AS267" s="69">
        <f t="shared" si="281"/>
        <v>1159494.5015625001</v>
      </c>
      <c r="AT267" s="69">
        <f t="shared" si="281"/>
        <v>1232402.2875000001</v>
      </c>
      <c r="AU267" s="69">
        <f t="shared" si="281"/>
        <v>1310386.8425</v>
      </c>
      <c r="AV267" s="69">
        <f t="shared" si="281"/>
        <v>1388333.1665624999</v>
      </c>
      <c r="AW267" s="69">
        <f t="shared" si="281"/>
        <v>1464178.7596875001</v>
      </c>
      <c r="AX267" s="69">
        <f t="shared" si="281"/>
        <v>1540976.1218750002</v>
      </c>
      <c r="AY267" s="69">
        <f t="shared" si="281"/>
        <v>1621942.7531250003</v>
      </c>
      <c r="AZ267" s="69">
        <f t="shared" si="281"/>
        <v>1707078.6534375004</v>
      </c>
      <c r="BA267" s="69">
        <f t="shared" si="281"/>
        <v>1794321.3228125004</v>
      </c>
      <c r="BB267" s="69">
        <f t="shared" si="281"/>
        <v>1845545.7612500004</v>
      </c>
      <c r="BC267" s="70">
        <f t="shared" si="216"/>
        <v>980636.75812500017</v>
      </c>
      <c r="BD267" s="70">
        <f t="shared" si="217"/>
        <v>1845545.7612500004</v>
      </c>
      <c r="BE267" s="2"/>
      <c r="BF267" s="69">
        <f t="shared" ref="BF267:CC267" si="282">BF266+BF219-BF243</f>
        <v>571235.125</v>
      </c>
      <c r="BG267" s="69">
        <f t="shared" si="282"/>
        <v>546835.02541666664</v>
      </c>
      <c r="BH267" s="69">
        <f t="shared" si="282"/>
        <v>530857.10124999995</v>
      </c>
      <c r="BI267" s="69">
        <f t="shared" si="282"/>
        <v>522701.25249999994</v>
      </c>
      <c r="BJ267" s="69">
        <f t="shared" si="282"/>
        <v>520027.62249999994</v>
      </c>
      <c r="BK267" s="69">
        <f t="shared" si="282"/>
        <v>516098.39906249993</v>
      </c>
      <c r="BL267" s="69">
        <f t="shared" si="282"/>
        <v>510490.28218749992</v>
      </c>
      <c r="BM267" s="69">
        <f t="shared" si="282"/>
        <v>505281.20312499988</v>
      </c>
      <c r="BN267" s="69">
        <f t="shared" si="282"/>
        <v>505938.68062499986</v>
      </c>
      <c r="BO267" s="69">
        <f t="shared" si="282"/>
        <v>512066.18968749989</v>
      </c>
      <c r="BP267" s="69">
        <f t="shared" si="282"/>
        <v>522405.62406249985</v>
      </c>
      <c r="BQ267" s="69">
        <f t="shared" si="282"/>
        <v>503567.39624999987</v>
      </c>
      <c r="BR267" s="69">
        <f t="shared" si="282"/>
        <v>514915.59999999986</v>
      </c>
      <c r="BS267" s="69">
        <f t="shared" si="282"/>
        <v>531310.53531249985</v>
      </c>
      <c r="BT267" s="69">
        <f t="shared" si="282"/>
        <v>552752.20218749985</v>
      </c>
      <c r="BU267" s="69">
        <f t="shared" si="282"/>
        <v>580060.4256249998</v>
      </c>
      <c r="BV267" s="69">
        <f t="shared" si="282"/>
        <v>611553.79937499983</v>
      </c>
      <c r="BW267" s="69">
        <f t="shared" si="282"/>
        <v>643049.68593749986</v>
      </c>
      <c r="BX267" s="69">
        <f t="shared" si="282"/>
        <v>672866.6790624999</v>
      </c>
      <c r="BY267" s="69">
        <f t="shared" si="282"/>
        <v>703506.00999999989</v>
      </c>
      <c r="BZ267" s="69">
        <f t="shared" si="282"/>
        <v>737552.42249999987</v>
      </c>
      <c r="CA267" s="69">
        <f t="shared" si="282"/>
        <v>775005.91656249983</v>
      </c>
      <c r="CB267" s="69">
        <f t="shared" si="282"/>
        <v>814185.08593749977</v>
      </c>
      <c r="CC267" s="69">
        <f t="shared" si="282"/>
        <v>817727.1181249998</v>
      </c>
      <c r="CD267" s="70">
        <f t="shared" si="219"/>
        <v>503567.39624999987</v>
      </c>
      <c r="CE267" s="70">
        <f t="shared" si="220"/>
        <v>817727.1181249998</v>
      </c>
      <c r="CF267" s="2"/>
      <c r="CG267" s="69">
        <f t="shared" ref="CG267:DD267" si="283">CG266+CG219-CG243</f>
        <v>631811.52500000002</v>
      </c>
      <c r="CH267" s="69">
        <f t="shared" si="283"/>
        <v>668110.46906250005</v>
      </c>
      <c r="CI267" s="69">
        <f t="shared" si="283"/>
        <v>712964.71218749997</v>
      </c>
      <c r="CJ267" s="69">
        <f t="shared" si="283"/>
        <v>765775.63437500002</v>
      </c>
      <c r="CK267" s="69">
        <f t="shared" si="283"/>
        <v>825976.95562500006</v>
      </c>
      <c r="CL267" s="69">
        <f t="shared" si="283"/>
        <v>884377.51593750005</v>
      </c>
      <c r="CM267" s="69">
        <f t="shared" si="283"/>
        <v>940411.03531250008</v>
      </c>
      <c r="CN267" s="69">
        <f t="shared" si="283"/>
        <v>996917.3287500001</v>
      </c>
      <c r="CO267" s="69">
        <f t="shared" si="283"/>
        <v>1061380.30125</v>
      </c>
      <c r="CP267" s="69">
        <f t="shared" si="283"/>
        <v>1133266.0128125001</v>
      </c>
      <c r="CQ267" s="69">
        <f t="shared" si="283"/>
        <v>1210834.8684375002</v>
      </c>
      <c r="CR267" s="69">
        <f t="shared" si="283"/>
        <v>1259442.7781250002</v>
      </c>
      <c r="CS267" s="69">
        <f t="shared" si="283"/>
        <v>1338321.6668750001</v>
      </c>
      <c r="CT267" s="69">
        <f t="shared" si="283"/>
        <v>1424057.0146875002</v>
      </c>
      <c r="CU267" s="69">
        <f t="shared" si="283"/>
        <v>1516648.8215625002</v>
      </c>
      <c r="CV267" s="69">
        <f t="shared" si="283"/>
        <v>1617197.3075000001</v>
      </c>
      <c r="CW267" s="69">
        <f t="shared" si="283"/>
        <v>1723396.5975000001</v>
      </c>
      <c r="CX267" s="69">
        <f t="shared" si="283"/>
        <v>1829534.7215625001</v>
      </c>
      <c r="CY267" s="69">
        <f t="shared" si="283"/>
        <v>1933305.8046875</v>
      </c>
      <c r="CZ267" s="69">
        <f t="shared" si="283"/>
        <v>2038115.941875</v>
      </c>
      <c r="DA267" s="69">
        <f t="shared" si="283"/>
        <v>2147582.098125</v>
      </c>
      <c r="DB267" s="69">
        <f t="shared" si="283"/>
        <v>2261704.2734375</v>
      </c>
      <c r="DC267" s="69">
        <f t="shared" si="283"/>
        <v>2378176.5928125</v>
      </c>
      <c r="DD267" s="69">
        <f t="shared" si="283"/>
        <v>2458387.3062499999</v>
      </c>
      <c r="DE267" s="70">
        <f t="shared" si="222"/>
        <v>1259442.7781250002</v>
      </c>
      <c r="DF267" s="70">
        <f t="shared" si="223"/>
        <v>2458387.3062499999</v>
      </c>
      <c r="DG267"/>
      <c r="DH267"/>
    </row>
    <row r="268" spans="1:112" hidden="1" x14ac:dyDescent="0.2">
      <c r="A268" s="1"/>
      <c r="B268" s="35" t="s">
        <v>190</v>
      </c>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2"/>
      <c r="AE268" s="69">
        <f t="shared" ref="AE268:BB268" si="284">AE267</f>
        <v>611456.25</v>
      </c>
      <c r="AF268" s="69">
        <f t="shared" si="284"/>
        <v>626631.76906249998</v>
      </c>
      <c r="AG268" s="69">
        <f t="shared" si="284"/>
        <v>649486.55718749994</v>
      </c>
      <c r="AH268" s="69">
        <f t="shared" si="284"/>
        <v>679480.614375</v>
      </c>
      <c r="AI268" s="69">
        <f t="shared" si="284"/>
        <v>716103.94062500005</v>
      </c>
      <c r="AJ268" s="69">
        <f t="shared" si="284"/>
        <v>751136.53593750007</v>
      </c>
      <c r="AK268" s="69">
        <f t="shared" si="284"/>
        <v>784068.40031250007</v>
      </c>
      <c r="AL268" s="69">
        <f t="shared" si="284"/>
        <v>817442.03375000006</v>
      </c>
      <c r="AM268" s="69">
        <f t="shared" si="284"/>
        <v>857954.93625000003</v>
      </c>
      <c r="AN268" s="69">
        <f t="shared" si="284"/>
        <v>905127.10781250009</v>
      </c>
      <c r="AO268" s="69">
        <f t="shared" si="284"/>
        <v>957406.04843750014</v>
      </c>
      <c r="AP268" s="69">
        <f t="shared" si="284"/>
        <v>980636.75812500017</v>
      </c>
      <c r="AQ268" s="69">
        <f t="shared" si="284"/>
        <v>1034106.7368750002</v>
      </c>
      <c r="AR268" s="69">
        <f t="shared" si="284"/>
        <v>1093725.9846875002</v>
      </c>
      <c r="AS268" s="69">
        <f t="shared" si="284"/>
        <v>1159494.5015625001</v>
      </c>
      <c r="AT268" s="69">
        <f t="shared" si="284"/>
        <v>1232402.2875000001</v>
      </c>
      <c r="AU268" s="69">
        <f t="shared" si="284"/>
        <v>1310386.8425</v>
      </c>
      <c r="AV268" s="69">
        <f t="shared" si="284"/>
        <v>1388333.1665624999</v>
      </c>
      <c r="AW268" s="69">
        <f t="shared" si="284"/>
        <v>1464178.7596875001</v>
      </c>
      <c r="AX268" s="69">
        <f t="shared" si="284"/>
        <v>1540976.1218750002</v>
      </c>
      <c r="AY268" s="69">
        <f t="shared" si="284"/>
        <v>1621942.7531250003</v>
      </c>
      <c r="AZ268" s="69">
        <f t="shared" si="284"/>
        <v>1707078.6534375004</v>
      </c>
      <c r="BA268" s="69">
        <f t="shared" si="284"/>
        <v>1794321.3228125004</v>
      </c>
      <c r="BB268" s="69">
        <f t="shared" si="284"/>
        <v>1845545.7612500004</v>
      </c>
      <c r="BC268" s="70">
        <f t="shared" si="216"/>
        <v>980636.75812500017</v>
      </c>
      <c r="BD268" s="70">
        <f t="shared" si="217"/>
        <v>1845545.7612500004</v>
      </c>
      <c r="BE268" s="2"/>
      <c r="BF268" s="69">
        <f t="shared" ref="BF268:CC268" si="285">BF267</f>
        <v>571235.125</v>
      </c>
      <c r="BG268" s="69">
        <f t="shared" si="285"/>
        <v>546835.02541666664</v>
      </c>
      <c r="BH268" s="69">
        <f t="shared" si="285"/>
        <v>530857.10124999995</v>
      </c>
      <c r="BI268" s="69">
        <f t="shared" si="285"/>
        <v>522701.25249999994</v>
      </c>
      <c r="BJ268" s="69">
        <f t="shared" si="285"/>
        <v>520027.62249999994</v>
      </c>
      <c r="BK268" s="69">
        <f t="shared" si="285"/>
        <v>516098.39906249993</v>
      </c>
      <c r="BL268" s="69">
        <f t="shared" si="285"/>
        <v>510490.28218749992</v>
      </c>
      <c r="BM268" s="69">
        <f t="shared" si="285"/>
        <v>505281.20312499988</v>
      </c>
      <c r="BN268" s="69">
        <f t="shared" si="285"/>
        <v>505938.68062499986</v>
      </c>
      <c r="BO268" s="69">
        <f t="shared" si="285"/>
        <v>512066.18968749989</v>
      </c>
      <c r="BP268" s="69">
        <f t="shared" si="285"/>
        <v>522405.62406249985</v>
      </c>
      <c r="BQ268" s="69">
        <f t="shared" si="285"/>
        <v>503567.39624999987</v>
      </c>
      <c r="BR268" s="69">
        <f t="shared" si="285"/>
        <v>514915.59999999986</v>
      </c>
      <c r="BS268" s="69">
        <f t="shared" si="285"/>
        <v>531310.53531249985</v>
      </c>
      <c r="BT268" s="69">
        <f t="shared" si="285"/>
        <v>552752.20218749985</v>
      </c>
      <c r="BU268" s="69">
        <f t="shared" si="285"/>
        <v>580060.4256249998</v>
      </c>
      <c r="BV268" s="69">
        <f t="shared" si="285"/>
        <v>611553.79937499983</v>
      </c>
      <c r="BW268" s="69">
        <f t="shared" si="285"/>
        <v>643049.68593749986</v>
      </c>
      <c r="BX268" s="69">
        <f t="shared" si="285"/>
        <v>672866.6790624999</v>
      </c>
      <c r="BY268" s="69">
        <f t="shared" si="285"/>
        <v>703506.00999999989</v>
      </c>
      <c r="BZ268" s="69">
        <f t="shared" si="285"/>
        <v>737552.42249999987</v>
      </c>
      <c r="CA268" s="69">
        <f t="shared" si="285"/>
        <v>775005.91656249983</v>
      </c>
      <c r="CB268" s="69">
        <f t="shared" si="285"/>
        <v>814185.08593749977</v>
      </c>
      <c r="CC268" s="69">
        <f t="shared" si="285"/>
        <v>817727.1181249998</v>
      </c>
      <c r="CD268" s="70">
        <f t="shared" si="219"/>
        <v>503567.39624999987</v>
      </c>
      <c r="CE268" s="70">
        <f t="shared" si="220"/>
        <v>817727.1181249998</v>
      </c>
      <c r="CF268" s="2"/>
      <c r="CG268" s="69">
        <f t="shared" ref="CG268:DD268" si="286">CG267</f>
        <v>631811.52500000002</v>
      </c>
      <c r="CH268" s="69">
        <f t="shared" si="286"/>
        <v>668110.46906250005</v>
      </c>
      <c r="CI268" s="69">
        <f t="shared" si="286"/>
        <v>712964.71218749997</v>
      </c>
      <c r="CJ268" s="69">
        <f t="shared" si="286"/>
        <v>765775.63437500002</v>
      </c>
      <c r="CK268" s="69">
        <f t="shared" si="286"/>
        <v>825976.95562500006</v>
      </c>
      <c r="CL268" s="69">
        <f t="shared" si="286"/>
        <v>884377.51593750005</v>
      </c>
      <c r="CM268" s="69">
        <f t="shared" si="286"/>
        <v>940411.03531250008</v>
      </c>
      <c r="CN268" s="69">
        <f t="shared" si="286"/>
        <v>996917.3287500001</v>
      </c>
      <c r="CO268" s="69">
        <f t="shared" si="286"/>
        <v>1061380.30125</v>
      </c>
      <c r="CP268" s="69">
        <f t="shared" si="286"/>
        <v>1133266.0128125001</v>
      </c>
      <c r="CQ268" s="69">
        <f t="shared" si="286"/>
        <v>1210834.8684375002</v>
      </c>
      <c r="CR268" s="69">
        <f t="shared" si="286"/>
        <v>1259442.7781250002</v>
      </c>
      <c r="CS268" s="69">
        <f t="shared" si="286"/>
        <v>1338321.6668750001</v>
      </c>
      <c r="CT268" s="69">
        <f t="shared" si="286"/>
        <v>1424057.0146875002</v>
      </c>
      <c r="CU268" s="69">
        <f t="shared" si="286"/>
        <v>1516648.8215625002</v>
      </c>
      <c r="CV268" s="69">
        <f t="shared" si="286"/>
        <v>1617197.3075000001</v>
      </c>
      <c r="CW268" s="69">
        <f t="shared" si="286"/>
        <v>1723396.5975000001</v>
      </c>
      <c r="CX268" s="69">
        <f t="shared" si="286"/>
        <v>1829534.7215625001</v>
      </c>
      <c r="CY268" s="69">
        <f t="shared" si="286"/>
        <v>1933305.8046875</v>
      </c>
      <c r="CZ268" s="69">
        <f t="shared" si="286"/>
        <v>2038115.941875</v>
      </c>
      <c r="DA268" s="69">
        <f t="shared" si="286"/>
        <v>2147582.098125</v>
      </c>
      <c r="DB268" s="69">
        <f t="shared" si="286"/>
        <v>2261704.2734375</v>
      </c>
      <c r="DC268" s="69">
        <f t="shared" si="286"/>
        <v>2378176.5928125</v>
      </c>
      <c r="DD268" s="69">
        <f t="shared" si="286"/>
        <v>2458387.3062499999</v>
      </c>
      <c r="DE268" s="70">
        <f t="shared" si="222"/>
        <v>1259442.7781250002</v>
      </c>
      <c r="DF268" s="70">
        <f t="shared" si="223"/>
        <v>2458387.3062499999</v>
      </c>
      <c r="DG268"/>
      <c r="DH268"/>
    </row>
    <row r="269" spans="1:112" hidden="1" x14ac:dyDescent="0.2">
      <c r="A269" s="1"/>
      <c r="B269" s="35" t="s">
        <v>191</v>
      </c>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2"/>
      <c r="AE269" s="70">
        <f t="shared" ref="AE269:BB269" si="287">AE265+AE268</f>
        <v>811456.25</v>
      </c>
      <c r="AF269" s="70">
        <f t="shared" si="287"/>
        <v>826631.76906249998</v>
      </c>
      <c r="AG269" s="70">
        <f t="shared" si="287"/>
        <v>849486.55718749994</v>
      </c>
      <c r="AH269" s="70">
        <f t="shared" si="287"/>
        <v>879480.614375</v>
      </c>
      <c r="AI269" s="70">
        <f t="shared" si="287"/>
        <v>916103.94062500005</v>
      </c>
      <c r="AJ269" s="70">
        <f t="shared" si="287"/>
        <v>951136.53593750007</v>
      </c>
      <c r="AK269" s="70">
        <f t="shared" si="287"/>
        <v>984068.40031250007</v>
      </c>
      <c r="AL269" s="70">
        <f t="shared" si="287"/>
        <v>1017442.0337500001</v>
      </c>
      <c r="AM269" s="70">
        <f t="shared" si="287"/>
        <v>1057954.93625</v>
      </c>
      <c r="AN269" s="70">
        <f t="shared" si="287"/>
        <v>1105127.1078125001</v>
      </c>
      <c r="AO269" s="70">
        <f t="shared" si="287"/>
        <v>1157406.0484375001</v>
      </c>
      <c r="AP269" s="70">
        <f t="shared" si="287"/>
        <v>1180636.7581250002</v>
      </c>
      <c r="AQ269" s="70">
        <f t="shared" si="287"/>
        <v>1234106.7368750002</v>
      </c>
      <c r="AR269" s="70">
        <f t="shared" si="287"/>
        <v>1293725.9846875002</v>
      </c>
      <c r="AS269" s="70">
        <f t="shared" si="287"/>
        <v>1359494.5015625001</v>
      </c>
      <c r="AT269" s="70">
        <f t="shared" si="287"/>
        <v>1432402.2875000001</v>
      </c>
      <c r="AU269" s="70">
        <f t="shared" si="287"/>
        <v>1510386.8425</v>
      </c>
      <c r="AV269" s="70">
        <f t="shared" si="287"/>
        <v>1588333.1665624999</v>
      </c>
      <c r="AW269" s="70">
        <f t="shared" si="287"/>
        <v>1664178.7596875001</v>
      </c>
      <c r="AX269" s="70">
        <f t="shared" si="287"/>
        <v>1740976.1218750002</v>
      </c>
      <c r="AY269" s="70">
        <f t="shared" si="287"/>
        <v>1821942.7531250003</v>
      </c>
      <c r="AZ269" s="70">
        <f t="shared" si="287"/>
        <v>1907078.6534375004</v>
      </c>
      <c r="BA269" s="70">
        <f t="shared" si="287"/>
        <v>1994321.3228125004</v>
      </c>
      <c r="BB269" s="70">
        <f t="shared" si="287"/>
        <v>2045545.7612500004</v>
      </c>
      <c r="BC269" s="70">
        <f t="shared" si="216"/>
        <v>1180636.7581250002</v>
      </c>
      <c r="BD269" s="70">
        <f t="shared" si="217"/>
        <v>2045545.7612500004</v>
      </c>
      <c r="BE269" s="2"/>
      <c r="BF269" s="70">
        <f t="shared" ref="BF269:CC269" si="288">BF265+BF268</f>
        <v>771235.125</v>
      </c>
      <c r="BG269" s="70">
        <f t="shared" si="288"/>
        <v>746835.02541666664</v>
      </c>
      <c r="BH269" s="70">
        <f t="shared" si="288"/>
        <v>730857.10124999995</v>
      </c>
      <c r="BI269" s="70">
        <f t="shared" si="288"/>
        <v>722701.25249999994</v>
      </c>
      <c r="BJ269" s="70">
        <f t="shared" si="288"/>
        <v>720027.62249999994</v>
      </c>
      <c r="BK269" s="70">
        <f t="shared" si="288"/>
        <v>716098.39906249987</v>
      </c>
      <c r="BL269" s="70">
        <f t="shared" si="288"/>
        <v>710490.28218749992</v>
      </c>
      <c r="BM269" s="70">
        <f t="shared" si="288"/>
        <v>705281.20312499988</v>
      </c>
      <c r="BN269" s="70">
        <f t="shared" si="288"/>
        <v>705938.6806249998</v>
      </c>
      <c r="BO269" s="70">
        <f t="shared" si="288"/>
        <v>712066.18968749989</v>
      </c>
      <c r="BP269" s="70">
        <f t="shared" si="288"/>
        <v>722405.62406249985</v>
      </c>
      <c r="BQ269" s="70">
        <f t="shared" si="288"/>
        <v>703567.39624999987</v>
      </c>
      <c r="BR269" s="70">
        <f t="shared" si="288"/>
        <v>714915.59999999986</v>
      </c>
      <c r="BS269" s="70">
        <f t="shared" si="288"/>
        <v>731310.53531249985</v>
      </c>
      <c r="BT269" s="70">
        <f t="shared" si="288"/>
        <v>752752.20218749985</v>
      </c>
      <c r="BU269" s="70">
        <f t="shared" si="288"/>
        <v>780060.4256249998</v>
      </c>
      <c r="BV269" s="70">
        <f t="shared" si="288"/>
        <v>811553.79937499983</v>
      </c>
      <c r="BW269" s="70">
        <f t="shared" si="288"/>
        <v>843049.68593749986</v>
      </c>
      <c r="BX269" s="70">
        <f t="shared" si="288"/>
        <v>872866.6790624999</v>
      </c>
      <c r="BY269" s="70">
        <f t="shared" si="288"/>
        <v>903506.00999999989</v>
      </c>
      <c r="BZ269" s="70">
        <f t="shared" si="288"/>
        <v>937552.42249999987</v>
      </c>
      <c r="CA269" s="70">
        <f t="shared" si="288"/>
        <v>975005.91656249983</v>
      </c>
      <c r="CB269" s="70">
        <f t="shared" si="288"/>
        <v>1014185.0859374998</v>
      </c>
      <c r="CC269" s="70">
        <f t="shared" si="288"/>
        <v>1017727.1181249998</v>
      </c>
      <c r="CD269" s="70">
        <f t="shared" si="219"/>
        <v>703567.39624999987</v>
      </c>
      <c r="CE269" s="70">
        <f t="shared" si="220"/>
        <v>1017727.1181249998</v>
      </c>
      <c r="CF269" s="2"/>
      <c r="CG269" s="70">
        <f t="shared" ref="CG269:DD269" si="289">CG265+CG268</f>
        <v>831811.52500000002</v>
      </c>
      <c r="CH269" s="70">
        <f t="shared" si="289"/>
        <v>868110.46906250005</v>
      </c>
      <c r="CI269" s="70">
        <f t="shared" si="289"/>
        <v>912964.71218749997</v>
      </c>
      <c r="CJ269" s="70">
        <f t="shared" si="289"/>
        <v>965775.63437500002</v>
      </c>
      <c r="CK269" s="70">
        <f t="shared" si="289"/>
        <v>1025976.9556250001</v>
      </c>
      <c r="CL269" s="70">
        <f t="shared" si="289"/>
        <v>1084377.5159375002</v>
      </c>
      <c r="CM269" s="70">
        <f t="shared" si="289"/>
        <v>1140411.0353125001</v>
      </c>
      <c r="CN269" s="70">
        <f t="shared" si="289"/>
        <v>1196917.3287500001</v>
      </c>
      <c r="CO269" s="70">
        <f t="shared" si="289"/>
        <v>1261380.30125</v>
      </c>
      <c r="CP269" s="70">
        <f t="shared" si="289"/>
        <v>1333266.0128125001</v>
      </c>
      <c r="CQ269" s="70">
        <f t="shared" si="289"/>
        <v>1410834.8684375002</v>
      </c>
      <c r="CR269" s="70">
        <f t="shared" si="289"/>
        <v>1459442.7781250002</v>
      </c>
      <c r="CS269" s="70">
        <f t="shared" si="289"/>
        <v>1538321.6668750001</v>
      </c>
      <c r="CT269" s="70">
        <f t="shared" si="289"/>
        <v>1624057.0146875002</v>
      </c>
      <c r="CU269" s="70">
        <f t="shared" si="289"/>
        <v>1716648.8215625002</v>
      </c>
      <c r="CV269" s="70">
        <f t="shared" si="289"/>
        <v>1817197.3075000001</v>
      </c>
      <c r="CW269" s="70">
        <f t="shared" si="289"/>
        <v>1923396.5975000001</v>
      </c>
      <c r="CX269" s="70">
        <f t="shared" si="289"/>
        <v>2029534.7215625001</v>
      </c>
      <c r="CY269" s="70">
        <f t="shared" si="289"/>
        <v>2133305.8046875</v>
      </c>
      <c r="CZ269" s="70">
        <f t="shared" si="289"/>
        <v>2238115.941875</v>
      </c>
      <c r="DA269" s="70">
        <f t="shared" si="289"/>
        <v>2347582.098125</v>
      </c>
      <c r="DB269" s="70">
        <f t="shared" si="289"/>
        <v>2461704.2734375</v>
      </c>
      <c r="DC269" s="70">
        <f t="shared" si="289"/>
        <v>2578176.5928125</v>
      </c>
      <c r="DD269" s="70">
        <f t="shared" si="289"/>
        <v>2658387.3062499999</v>
      </c>
      <c r="DE269" s="70">
        <f t="shared" si="222"/>
        <v>1459442.7781250002</v>
      </c>
      <c r="DF269" s="70">
        <f t="shared" si="223"/>
        <v>2658387.3062499999</v>
      </c>
      <c r="DG269"/>
      <c r="DH269"/>
    </row>
    <row r="270" spans="1:112" hidden="1" x14ac:dyDescent="0.2">
      <c r="A270" s="1"/>
      <c r="B270" s="35" t="s">
        <v>192</v>
      </c>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2"/>
      <c r="AE270" s="70">
        <f t="shared" ref="AE270:BB270" si="290">AE262+AE269</f>
        <v>1365248.6666666667</v>
      </c>
      <c r="AF270" s="70">
        <f t="shared" si="290"/>
        <v>1386323.0254166666</v>
      </c>
      <c r="AG270" s="70">
        <f t="shared" si="290"/>
        <v>1418404.4095833334</v>
      </c>
      <c r="AH270" s="70">
        <f t="shared" si="290"/>
        <v>1417736.4226562502</v>
      </c>
      <c r="AI270" s="70">
        <f t="shared" si="290"/>
        <v>1467535.85765625</v>
      </c>
      <c r="AJ270" s="70">
        <f t="shared" si="290"/>
        <v>1505571.65140625</v>
      </c>
      <c r="AK270" s="70">
        <f t="shared" si="290"/>
        <v>1540465.1372395833</v>
      </c>
      <c r="AL270" s="70">
        <f t="shared" si="290"/>
        <v>1536761.9186458334</v>
      </c>
      <c r="AM270" s="70">
        <f t="shared" si="290"/>
        <v>1592088.7886458333</v>
      </c>
      <c r="AN270" s="70">
        <f t="shared" si="290"/>
        <v>1613940.9542187501</v>
      </c>
      <c r="AO270" s="70">
        <f t="shared" si="290"/>
        <v>1682513.2083854168</v>
      </c>
      <c r="AP270" s="70">
        <f t="shared" si="290"/>
        <v>1717597.1546354168</v>
      </c>
      <c r="AQ270" s="70">
        <f t="shared" si="290"/>
        <v>1784013.459635417</v>
      </c>
      <c r="AR270" s="70">
        <f t="shared" si="290"/>
        <v>1864090.1233854168</v>
      </c>
      <c r="AS270" s="70">
        <f t="shared" si="290"/>
        <v>1952365.8125520835</v>
      </c>
      <c r="AT270" s="70">
        <f t="shared" si="290"/>
        <v>1967976.776875</v>
      </c>
      <c r="AU270" s="70">
        <f t="shared" si="290"/>
        <v>2070865.8502083332</v>
      </c>
      <c r="AV270" s="70">
        <f t="shared" si="290"/>
        <v>2168178.6156250001</v>
      </c>
      <c r="AW270" s="70">
        <f t="shared" si="290"/>
        <v>2260290.4064583336</v>
      </c>
      <c r="AX270" s="70">
        <f t="shared" si="290"/>
        <v>2273887.4724479169</v>
      </c>
      <c r="AY270" s="70">
        <f t="shared" si="290"/>
        <v>2380976.6474479167</v>
      </c>
      <c r="AZ270" s="70">
        <f t="shared" si="290"/>
        <v>2410715.7642708337</v>
      </c>
      <c r="BA270" s="70">
        <f t="shared" si="290"/>
        <v>2523772.9901041673</v>
      </c>
      <c r="BB270" s="70">
        <f t="shared" si="290"/>
        <v>2595339.241354167</v>
      </c>
      <c r="BC270" s="70">
        <f t="shared" si="216"/>
        <v>1717597.1546354168</v>
      </c>
      <c r="BD270" s="70">
        <f t="shared" si="217"/>
        <v>2595339.241354167</v>
      </c>
      <c r="BE270" s="2"/>
      <c r="BF270" s="70">
        <f t="shared" ref="BF270:CC270" si="291">BF262+BF269</f>
        <v>1362005.45</v>
      </c>
      <c r="BG270" s="70">
        <f t="shared" si="291"/>
        <v>1336894.3004166665</v>
      </c>
      <c r="BH270" s="70">
        <f t="shared" si="291"/>
        <v>1321104.9662500001</v>
      </c>
      <c r="BI270" s="70">
        <f t="shared" si="291"/>
        <v>1306549.0021874998</v>
      </c>
      <c r="BJ270" s="70">
        <f t="shared" si="291"/>
        <v>1305089.7188541666</v>
      </c>
      <c r="BK270" s="70">
        <f t="shared" si="291"/>
        <v>1290660.8309374999</v>
      </c>
      <c r="BL270" s="70">
        <f t="shared" si="291"/>
        <v>1273593.5784374999</v>
      </c>
      <c r="BM270" s="70">
        <f t="shared" si="291"/>
        <v>1254080.7260416667</v>
      </c>
      <c r="BN270" s="70">
        <f t="shared" si="291"/>
        <v>1257462.7593749999</v>
      </c>
      <c r="BO270" s="70">
        <f t="shared" si="291"/>
        <v>1261449.5028124999</v>
      </c>
      <c r="BP270" s="70">
        <f t="shared" si="291"/>
        <v>1274879.4569791667</v>
      </c>
      <c r="BQ270" s="70">
        <f t="shared" si="291"/>
        <v>1253833.0915624998</v>
      </c>
      <c r="BR270" s="70">
        <f t="shared" si="291"/>
        <v>1264222.3265624999</v>
      </c>
      <c r="BS270" s="70">
        <f t="shared" si="291"/>
        <v>1287737.9769791665</v>
      </c>
      <c r="BT270" s="70">
        <f t="shared" si="291"/>
        <v>1317982.6028124997</v>
      </c>
      <c r="BU270" s="70">
        <f t="shared" si="291"/>
        <v>1319885.6539062499</v>
      </c>
      <c r="BV270" s="70">
        <f t="shared" si="291"/>
        <v>1361570.8405729164</v>
      </c>
      <c r="BW270" s="70">
        <f t="shared" si="291"/>
        <v>1396786.9676562499</v>
      </c>
      <c r="BX270" s="70">
        <f t="shared" si="291"/>
        <v>1426953.1951562499</v>
      </c>
      <c r="BY270" s="70">
        <f t="shared" si="291"/>
        <v>1424863.5979166664</v>
      </c>
      <c r="BZ270" s="70">
        <f t="shared" si="291"/>
        <v>1470215.23125</v>
      </c>
      <c r="CA270" s="70">
        <f t="shared" si="291"/>
        <v>1483096.3298437498</v>
      </c>
      <c r="CB270" s="70">
        <f t="shared" si="291"/>
        <v>1532480.2640104163</v>
      </c>
      <c r="CC270" s="70">
        <f t="shared" si="291"/>
        <v>1540058.5985937498</v>
      </c>
      <c r="CD270" s="70">
        <f t="shared" si="219"/>
        <v>1253833.0915624998</v>
      </c>
      <c r="CE270" s="70">
        <f t="shared" si="220"/>
        <v>1540058.5985937498</v>
      </c>
      <c r="CF270" s="2"/>
      <c r="CG270" s="70">
        <f t="shared" ref="CG270:DD270" si="292">CG262+CG269</f>
        <v>1370927.2033333334</v>
      </c>
      <c r="CH270" s="70">
        <f t="shared" si="292"/>
        <v>1419577.6820833334</v>
      </c>
      <c r="CI270" s="70">
        <f t="shared" si="292"/>
        <v>1480333.7702500001</v>
      </c>
      <c r="CJ270" s="70">
        <f t="shared" si="292"/>
        <v>1486223.5429895832</v>
      </c>
      <c r="CK270" s="70">
        <f t="shared" si="292"/>
        <v>1566860.2819895833</v>
      </c>
      <c r="CL270" s="70">
        <f t="shared" si="292"/>
        <v>1636325.3984062502</v>
      </c>
      <c r="CM270" s="70">
        <f t="shared" si="292"/>
        <v>1702323.9962395835</v>
      </c>
      <c r="CN270" s="70">
        <f t="shared" si="292"/>
        <v>1706281.6166458335</v>
      </c>
      <c r="CO270" s="70">
        <f t="shared" si="292"/>
        <v>1792911.0213125001</v>
      </c>
      <c r="CP270" s="70">
        <f t="shared" si="292"/>
        <v>1823884.5745520834</v>
      </c>
      <c r="CQ270" s="70">
        <f t="shared" si="292"/>
        <v>1925766.7320520836</v>
      </c>
      <c r="CR270" s="70">
        <f t="shared" si="292"/>
        <v>1994707.2029687501</v>
      </c>
      <c r="CS270" s="70">
        <f t="shared" si="292"/>
        <v>2094930.6693020836</v>
      </c>
      <c r="CT270" s="70">
        <f t="shared" si="292"/>
        <v>2209263.5050520836</v>
      </c>
      <c r="CU270" s="70">
        <f t="shared" si="292"/>
        <v>2332738.2862187503</v>
      </c>
      <c r="CV270" s="70">
        <f t="shared" si="292"/>
        <v>2356736.3314583334</v>
      </c>
      <c r="CW270" s="70">
        <f t="shared" si="292"/>
        <v>2496831.2094583334</v>
      </c>
      <c r="CX270" s="70">
        <f t="shared" si="292"/>
        <v>2631818.8968750001</v>
      </c>
      <c r="CY270" s="70">
        <f t="shared" si="292"/>
        <v>2761467.5797083331</v>
      </c>
      <c r="CZ270" s="70">
        <f t="shared" si="292"/>
        <v>2784598.9766145833</v>
      </c>
      <c r="DA270" s="70">
        <f t="shared" si="292"/>
        <v>2929253.4182812502</v>
      </c>
      <c r="DB270" s="70">
        <f t="shared" si="292"/>
        <v>2969370.5080208336</v>
      </c>
      <c r="DC270" s="70">
        <f t="shared" si="292"/>
        <v>3121183.5505208336</v>
      </c>
      <c r="DD270" s="70">
        <f t="shared" si="292"/>
        <v>3231615.2184374998</v>
      </c>
      <c r="DE270" s="70">
        <f t="shared" si="222"/>
        <v>1994707.2029687501</v>
      </c>
      <c r="DF270" s="70">
        <f t="shared" si="223"/>
        <v>3231615.2184374998</v>
      </c>
      <c r="DG270"/>
      <c r="DH270"/>
    </row>
    <row r="271" spans="1:112" hidden="1" x14ac:dyDescent="0.2">
      <c r="A271" s="1"/>
      <c r="B271" s="35" t="s">
        <v>193</v>
      </c>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2"/>
      <c r="AE271" s="78">
        <f t="shared" ref="AE271:BB271" si="293">ROUND(AE256-AE270,2)</f>
        <v>0</v>
      </c>
      <c r="AF271" s="78">
        <f t="shared" si="293"/>
        <v>0</v>
      </c>
      <c r="AG271" s="78">
        <f t="shared" si="293"/>
        <v>0</v>
      </c>
      <c r="AH271" s="78">
        <f t="shared" si="293"/>
        <v>0</v>
      </c>
      <c r="AI271" s="78">
        <f t="shared" si="293"/>
        <v>0</v>
      </c>
      <c r="AJ271" s="78">
        <f t="shared" si="293"/>
        <v>0</v>
      </c>
      <c r="AK271" s="78">
        <f t="shared" si="293"/>
        <v>0</v>
      </c>
      <c r="AL271" s="78">
        <f t="shared" si="293"/>
        <v>0</v>
      </c>
      <c r="AM271" s="78">
        <f t="shared" si="293"/>
        <v>0</v>
      </c>
      <c r="AN271" s="78">
        <f t="shared" si="293"/>
        <v>0</v>
      </c>
      <c r="AO271" s="78">
        <f t="shared" si="293"/>
        <v>0</v>
      </c>
      <c r="AP271" s="78">
        <f t="shared" si="293"/>
        <v>0</v>
      </c>
      <c r="AQ271" s="78">
        <f t="shared" si="293"/>
        <v>0</v>
      </c>
      <c r="AR271" s="78">
        <f t="shared" si="293"/>
        <v>0</v>
      </c>
      <c r="AS271" s="78">
        <f t="shared" si="293"/>
        <v>0</v>
      </c>
      <c r="AT271" s="78">
        <f t="shared" si="293"/>
        <v>0</v>
      </c>
      <c r="AU271" s="78">
        <f t="shared" si="293"/>
        <v>0</v>
      </c>
      <c r="AV271" s="78">
        <f t="shared" si="293"/>
        <v>0</v>
      </c>
      <c r="AW271" s="78">
        <f t="shared" si="293"/>
        <v>0</v>
      </c>
      <c r="AX271" s="78">
        <f t="shared" si="293"/>
        <v>0</v>
      </c>
      <c r="AY271" s="78">
        <f t="shared" si="293"/>
        <v>0</v>
      </c>
      <c r="AZ271" s="78">
        <f t="shared" si="293"/>
        <v>0</v>
      </c>
      <c r="BA271" s="78">
        <f t="shared" si="293"/>
        <v>0</v>
      </c>
      <c r="BB271" s="78">
        <f t="shared" si="293"/>
        <v>0</v>
      </c>
      <c r="BC271" s="85">
        <f t="shared" ref="BC271:BC278" si="294">ROUND(SUMPRODUCT(ABS(AE271:AP271)),2)</f>
        <v>0</v>
      </c>
      <c r="BD271" s="85">
        <f t="shared" ref="BD271:BD278" si="295">ROUND(SUMPRODUCT(ABS(AQ271:BB271)),2)</f>
        <v>0</v>
      </c>
      <c r="BE271" s="2"/>
      <c r="BF271" s="78">
        <f t="shared" ref="BF271:CC271" si="296">ROUND(BF256-BF270,2)</f>
        <v>0</v>
      </c>
      <c r="BG271" s="78">
        <f t="shared" si="296"/>
        <v>0</v>
      </c>
      <c r="BH271" s="78">
        <f t="shared" si="296"/>
        <v>0</v>
      </c>
      <c r="BI271" s="78">
        <f t="shared" si="296"/>
        <v>0</v>
      </c>
      <c r="BJ271" s="78">
        <f t="shared" si="296"/>
        <v>0</v>
      </c>
      <c r="BK271" s="78">
        <f t="shared" si="296"/>
        <v>0</v>
      </c>
      <c r="BL271" s="78">
        <f t="shared" si="296"/>
        <v>0</v>
      </c>
      <c r="BM271" s="78">
        <f t="shared" si="296"/>
        <v>0</v>
      </c>
      <c r="BN271" s="78">
        <f t="shared" si="296"/>
        <v>0</v>
      </c>
      <c r="BO271" s="78">
        <f t="shared" si="296"/>
        <v>0</v>
      </c>
      <c r="BP271" s="78">
        <f t="shared" si="296"/>
        <v>0</v>
      </c>
      <c r="BQ271" s="78">
        <f t="shared" si="296"/>
        <v>0</v>
      </c>
      <c r="BR271" s="78">
        <f t="shared" si="296"/>
        <v>0</v>
      </c>
      <c r="BS271" s="78">
        <f t="shared" si="296"/>
        <v>0</v>
      </c>
      <c r="BT271" s="78">
        <f t="shared" si="296"/>
        <v>0</v>
      </c>
      <c r="BU271" s="78">
        <f t="shared" si="296"/>
        <v>0</v>
      </c>
      <c r="BV271" s="78">
        <f t="shared" si="296"/>
        <v>0</v>
      </c>
      <c r="BW271" s="78">
        <f t="shared" si="296"/>
        <v>0</v>
      </c>
      <c r="BX271" s="78">
        <f t="shared" si="296"/>
        <v>0</v>
      </c>
      <c r="BY271" s="78">
        <f t="shared" si="296"/>
        <v>0</v>
      </c>
      <c r="BZ271" s="78">
        <f t="shared" si="296"/>
        <v>0</v>
      </c>
      <c r="CA271" s="78">
        <f t="shared" si="296"/>
        <v>0</v>
      </c>
      <c r="CB271" s="78">
        <f t="shared" si="296"/>
        <v>0</v>
      </c>
      <c r="CC271" s="78">
        <f t="shared" si="296"/>
        <v>0</v>
      </c>
      <c r="CD271" s="85">
        <f t="shared" ref="CD271:CD278" si="297">ROUND(SUMPRODUCT(ABS(BF271:BQ271)),2)</f>
        <v>0</v>
      </c>
      <c r="CE271" s="85">
        <f t="shared" ref="CE271:CE278" si="298">ROUND(SUMPRODUCT(ABS(BR271:CC271)),2)</f>
        <v>0</v>
      </c>
      <c r="CF271" s="2"/>
      <c r="CG271" s="78">
        <f t="shared" ref="CG271:DD271" si="299">ROUND(CG256-CG270,2)</f>
        <v>0</v>
      </c>
      <c r="CH271" s="78">
        <f t="shared" si="299"/>
        <v>0</v>
      </c>
      <c r="CI271" s="78">
        <f t="shared" si="299"/>
        <v>0</v>
      </c>
      <c r="CJ271" s="78">
        <f t="shared" si="299"/>
        <v>0</v>
      </c>
      <c r="CK271" s="78">
        <f t="shared" si="299"/>
        <v>0</v>
      </c>
      <c r="CL271" s="78">
        <f t="shared" si="299"/>
        <v>0</v>
      </c>
      <c r="CM271" s="78">
        <f t="shared" si="299"/>
        <v>0</v>
      </c>
      <c r="CN271" s="78">
        <f t="shared" si="299"/>
        <v>0</v>
      </c>
      <c r="CO271" s="78">
        <f t="shared" si="299"/>
        <v>0</v>
      </c>
      <c r="CP271" s="78">
        <f t="shared" si="299"/>
        <v>0</v>
      </c>
      <c r="CQ271" s="78">
        <f t="shared" si="299"/>
        <v>0</v>
      </c>
      <c r="CR271" s="78">
        <f t="shared" si="299"/>
        <v>0</v>
      </c>
      <c r="CS271" s="78">
        <f t="shared" si="299"/>
        <v>0</v>
      </c>
      <c r="CT271" s="78">
        <f t="shared" si="299"/>
        <v>0</v>
      </c>
      <c r="CU271" s="78">
        <f t="shared" si="299"/>
        <v>0</v>
      </c>
      <c r="CV271" s="78">
        <f t="shared" si="299"/>
        <v>0</v>
      </c>
      <c r="CW271" s="78">
        <f t="shared" si="299"/>
        <v>0</v>
      </c>
      <c r="CX271" s="78">
        <f t="shared" si="299"/>
        <v>0</v>
      </c>
      <c r="CY271" s="78">
        <f t="shared" si="299"/>
        <v>0</v>
      </c>
      <c r="CZ271" s="78">
        <f t="shared" si="299"/>
        <v>0</v>
      </c>
      <c r="DA271" s="78">
        <f t="shared" si="299"/>
        <v>0</v>
      </c>
      <c r="DB271" s="78">
        <f t="shared" si="299"/>
        <v>0</v>
      </c>
      <c r="DC271" s="78">
        <f t="shared" si="299"/>
        <v>0</v>
      </c>
      <c r="DD271" s="78">
        <f t="shared" si="299"/>
        <v>0</v>
      </c>
      <c r="DE271" s="85">
        <f t="shared" ref="DE271:DE278" si="300">ROUND(SUMPRODUCT(ABS(CG271:CR271)),2)</f>
        <v>0</v>
      </c>
      <c r="DF271" s="85">
        <f t="shared" ref="DF271:DF278" si="301">ROUND(SUMPRODUCT(ABS(CS271:DD271)),2)</f>
        <v>0</v>
      </c>
      <c r="DG271"/>
      <c r="DH271"/>
    </row>
    <row r="272" spans="1:112" hidden="1" x14ac:dyDescent="0.2">
      <c r="A272" s="1"/>
      <c r="B272" s="35" t="s">
        <v>194</v>
      </c>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2"/>
      <c r="AE272" s="78">
        <f t="shared" ref="AE272:BB272" si="302">ROUND(AE249-AE248,2)</f>
        <v>0</v>
      </c>
      <c r="AF272" s="78">
        <f t="shared" si="302"/>
        <v>0</v>
      </c>
      <c r="AG272" s="78">
        <f t="shared" si="302"/>
        <v>0</v>
      </c>
      <c r="AH272" s="78">
        <f t="shared" si="302"/>
        <v>0</v>
      </c>
      <c r="AI272" s="78">
        <f t="shared" si="302"/>
        <v>0</v>
      </c>
      <c r="AJ272" s="78">
        <f t="shared" si="302"/>
        <v>0</v>
      </c>
      <c r="AK272" s="78">
        <f t="shared" si="302"/>
        <v>0</v>
      </c>
      <c r="AL272" s="78">
        <f t="shared" si="302"/>
        <v>0</v>
      </c>
      <c r="AM272" s="78">
        <f t="shared" si="302"/>
        <v>0</v>
      </c>
      <c r="AN272" s="78">
        <f t="shared" si="302"/>
        <v>0</v>
      </c>
      <c r="AO272" s="78">
        <f t="shared" si="302"/>
        <v>0</v>
      </c>
      <c r="AP272" s="78">
        <f t="shared" si="302"/>
        <v>0</v>
      </c>
      <c r="AQ272" s="78">
        <f t="shared" si="302"/>
        <v>0</v>
      </c>
      <c r="AR272" s="78">
        <f t="shared" si="302"/>
        <v>0</v>
      </c>
      <c r="AS272" s="78">
        <f t="shared" si="302"/>
        <v>0</v>
      </c>
      <c r="AT272" s="78">
        <f t="shared" si="302"/>
        <v>0</v>
      </c>
      <c r="AU272" s="78">
        <f t="shared" si="302"/>
        <v>0</v>
      </c>
      <c r="AV272" s="78">
        <f t="shared" si="302"/>
        <v>0</v>
      </c>
      <c r="AW272" s="78">
        <f t="shared" si="302"/>
        <v>0</v>
      </c>
      <c r="AX272" s="78">
        <f t="shared" si="302"/>
        <v>0</v>
      </c>
      <c r="AY272" s="78">
        <f t="shared" si="302"/>
        <v>0</v>
      </c>
      <c r="AZ272" s="78">
        <f t="shared" si="302"/>
        <v>0</v>
      </c>
      <c r="BA272" s="78">
        <f t="shared" si="302"/>
        <v>0</v>
      </c>
      <c r="BB272" s="78">
        <f t="shared" si="302"/>
        <v>0</v>
      </c>
      <c r="BC272" s="85">
        <f t="shared" si="294"/>
        <v>0</v>
      </c>
      <c r="BD272" s="85">
        <f t="shared" si="295"/>
        <v>0</v>
      </c>
      <c r="BE272" s="2"/>
      <c r="BF272" s="78">
        <f t="shared" ref="BF272:CC272" si="303">ROUND(BF249-BF248,2)</f>
        <v>0</v>
      </c>
      <c r="BG272" s="78">
        <f t="shared" si="303"/>
        <v>0</v>
      </c>
      <c r="BH272" s="78">
        <f t="shared" si="303"/>
        <v>0</v>
      </c>
      <c r="BI272" s="78">
        <f t="shared" si="303"/>
        <v>0</v>
      </c>
      <c r="BJ272" s="78">
        <f t="shared" si="303"/>
        <v>0</v>
      </c>
      <c r="BK272" s="78">
        <f t="shared" si="303"/>
        <v>0</v>
      </c>
      <c r="BL272" s="78">
        <f t="shared" si="303"/>
        <v>0</v>
      </c>
      <c r="BM272" s="78">
        <f t="shared" si="303"/>
        <v>0</v>
      </c>
      <c r="BN272" s="78">
        <f t="shared" si="303"/>
        <v>0</v>
      </c>
      <c r="BO272" s="78">
        <f t="shared" si="303"/>
        <v>0</v>
      </c>
      <c r="BP272" s="78">
        <f t="shared" si="303"/>
        <v>0</v>
      </c>
      <c r="BQ272" s="78">
        <f t="shared" si="303"/>
        <v>0</v>
      </c>
      <c r="BR272" s="78">
        <f t="shared" si="303"/>
        <v>0</v>
      </c>
      <c r="BS272" s="78">
        <f t="shared" si="303"/>
        <v>0</v>
      </c>
      <c r="BT272" s="78">
        <f t="shared" si="303"/>
        <v>0</v>
      </c>
      <c r="BU272" s="78">
        <f t="shared" si="303"/>
        <v>0</v>
      </c>
      <c r="BV272" s="78">
        <f t="shared" si="303"/>
        <v>0</v>
      </c>
      <c r="BW272" s="78">
        <f t="shared" si="303"/>
        <v>0</v>
      </c>
      <c r="BX272" s="78">
        <f t="shared" si="303"/>
        <v>0</v>
      </c>
      <c r="BY272" s="78">
        <f t="shared" si="303"/>
        <v>0</v>
      </c>
      <c r="BZ272" s="78">
        <f t="shared" si="303"/>
        <v>0</v>
      </c>
      <c r="CA272" s="78">
        <f t="shared" si="303"/>
        <v>0</v>
      </c>
      <c r="CB272" s="78">
        <f t="shared" si="303"/>
        <v>0</v>
      </c>
      <c r="CC272" s="78">
        <f t="shared" si="303"/>
        <v>0</v>
      </c>
      <c r="CD272" s="85">
        <f t="shared" si="297"/>
        <v>0</v>
      </c>
      <c r="CE272" s="85">
        <f t="shared" si="298"/>
        <v>0</v>
      </c>
      <c r="CF272" s="2"/>
      <c r="CG272" s="78">
        <f t="shared" ref="CG272:DD272" si="304">ROUND(CG249-CG248,2)</f>
        <v>0</v>
      </c>
      <c r="CH272" s="78">
        <f t="shared" si="304"/>
        <v>0</v>
      </c>
      <c r="CI272" s="78">
        <f t="shared" si="304"/>
        <v>0</v>
      </c>
      <c r="CJ272" s="78">
        <f t="shared" si="304"/>
        <v>0</v>
      </c>
      <c r="CK272" s="78">
        <f t="shared" si="304"/>
        <v>0</v>
      </c>
      <c r="CL272" s="78">
        <f t="shared" si="304"/>
        <v>0</v>
      </c>
      <c r="CM272" s="78">
        <f t="shared" si="304"/>
        <v>0</v>
      </c>
      <c r="CN272" s="78">
        <f t="shared" si="304"/>
        <v>0</v>
      </c>
      <c r="CO272" s="78">
        <f t="shared" si="304"/>
        <v>0</v>
      </c>
      <c r="CP272" s="78">
        <f t="shared" si="304"/>
        <v>0</v>
      </c>
      <c r="CQ272" s="78">
        <f t="shared" si="304"/>
        <v>0</v>
      </c>
      <c r="CR272" s="78">
        <f t="shared" si="304"/>
        <v>0</v>
      </c>
      <c r="CS272" s="78">
        <f t="shared" si="304"/>
        <v>0</v>
      </c>
      <c r="CT272" s="78">
        <f t="shared" si="304"/>
        <v>0</v>
      </c>
      <c r="CU272" s="78">
        <f t="shared" si="304"/>
        <v>0</v>
      </c>
      <c r="CV272" s="78">
        <f t="shared" si="304"/>
        <v>0</v>
      </c>
      <c r="CW272" s="78">
        <f t="shared" si="304"/>
        <v>0</v>
      </c>
      <c r="CX272" s="78">
        <f t="shared" si="304"/>
        <v>0</v>
      </c>
      <c r="CY272" s="78">
        <f t="shared" si="304"/>
        <v>0</v>
      </c>
      <c r="CZ272" s="78">
        <f t="shared" si="304"/>
        <v>0</v>
      </c>
      <c r="DA272" s="78">
        <f t="shared" si="304"/>
        <v>0</v>
      </c>
      <c r="DB272" s="78">
        <f t="shared" si="304"/>
        <v>0</v>
      </c>
      <c r="DC272" s="78">
        <f t="shared" si="304"/>
        <v>0</v>
      </c>
      <c r="DD272" s="78">
        <f t="shared" si="304"/>
        <v>0</v>
      </c>
      <c r="DE272" s="85">
        <f t="shared" si="300"/>
        <v>0</v>
      </c>
      <c r="DF272" s="85">
        <f t="shared" si="301"/>
        <v>0</v>
      </c>
      <c r="DG272"/>
      <c r="DH272"/>
    </row>
    <row r="273" spans="1:112" hidden="1" x14ac:dyDescent="0.2">
      <c r="A273" s="1"/>
      <c r="B273" s="35" t="s">
        <v>195</v>
      </c>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2"/>
      <c r="AE273" s="78">
        <f t="shared" ref="AE273:BB273" si="305">ROUND(AE267-(AE266+AE219-AE243),2)</f>
        <v>0</v>
      </c>
      <c r="AF273" s="78">
        <f t="shared" si="305"/>
        <v>0</v>
      </c>
      <c r="AG273" s="78">
        <f t="shared" si="305"/>
        <v>0</v>
      </c>
      <c r="AH273" s="78">
        <f t="shared" si="305"/>
        <v>0</v>
      </c>
      <c r="AI273" s="78">
        <f t="shared" si="305"/>
        <v>0</v>
      </c>
      <c r="AJ273" s="78">
        <f t="shared" si="305"/>
        <v>0</v>
      </c>
      <c r="AK273" s="78">
        <f t="shared" si="305"/>
        <v>0</v>
      </c>
      <c r="AL273" s="78">
        <f t="shared" si="305"/>
        <v>0</v>
      </c>
      <c r="AM273" s="78">
        <f t="shared" si="305"/>
        <v>0</v>
      </c>
      <c r="AN273" s="78">
        <f t="shared" si="305"/>
        <v>0</v>
      </c>
      <c r="AO273" s="78">
        <f t="shared" si="305"/>
        <v>0</v>
      </c>
      <c r="AP273" s="78">
        <f t="shared" si="305"/>
        <v>0</v>
      </c>
      <c r="AQ273" s="78">
        <f t="shared" si="305"/>
        <v>0</v>
      </c>
      <c r="AR273" s="78">
        <f t="shared" si="305"/>
        <v>0</v>
      </c>
      <c r="AS273" s="78">
        <f t="shared" si="305"/>
        <v>0</v>
      </c>
      <c r="AT273" s="78">
        <f t="shared" si="305"/>
        <v>0</v>
      </c>
      <c r="AU273" s="78">
        <f t="shared" si="305"/>
        <v>0</v>
      </c>
      <c r="AV273" s="78">
        <f t="shared" si="305"/>
        <v>0</v>
      </c>
      <c r="AW273" s="78">
        <f t="shared" si="305"/>
        <v>0</v>
      </c>
      <c r="AX273" s="78">
        <f t="shared" si="305"/>
        <v>0</v>
      </c>
      <c r="AY273" s="78">
        <f t="shared" si="305"/>
        <v>0</v>
      </c>
      <c r="AZ273" s="78">
        <f t="shared" si="305"/>
        <v>0</v>
      </c>
      <c r="BA273" s="78">
        <f t="shared" si="305"/>
        <v>0</v>
      </c>
      <c r="BB273" s="78">
        <f t="shared" si="305"/>
        <v>0</v>
      </c>
      <c r="BC273" s="85">
        <f t="shared" si="294"/>
        <v>0</v>
      </c>
      <c r="BD273" s="85">
        <f t="shared" si="295"/>
        <v>0</v>
      </c>
      <c r="BE273" s="2"/>
      <c r="BF273" s="78">
        <f t="shared" ref="BF273:CC273" si="306">ROUND(BF267-(BF266+BF219-BF243),2)</f>
        <v>0</v>
      </c>
      <c r="BG273" s="78">
        <f t="shared" si="306"/>
        <v>0</v>
      </c>
      <c r="BH273" s="78">
        <f t="shared" si="306"/>
        <v>0</v>
      </c>
      <c r="BI273" s="78">
        <f t="shared" si="306"/>
        <v>0</v>
      </c>
      <c r="BJ273" s="78">
        <f t="shared" si="306"/>
        <v>0</v>
      </c>
      <c r="BK273" s="78">
        <f t="shared" si="306"/>
        <v>0</v>
      </c>
      <c r="BL273" s="78">
        <f t="shared" si="306"/>
        <v>0</v>
      </c>
      <c r="BM273" s="78">
        <f t="shared" si="306"/>
        <v>0</v>
      </c>
      <c r="BN273" s="78">
        <f t="shared" si="306"/>
        <v>0</v>
      </c>
      <c r="BO273" s="78">
        <f t="shared" si="306"/>
        <v>0</v>
      </c>
      <c r="BP273" s="78">
        <f t="shared" si="306"/>
        <v>0</v>
      </c>
      <c r="BQ273" s="78">
        <f t="shared" si="306"/>
        <v>0</v>
      </c>
      <c r="BR273" s="78">
        <f t="shared" si="306"/>
        <v>0</v>
      </c>
      <c r="BS273" s="78">
        <f t="shared" si="306"/>
        <v>0</v>
      </c>
      <c r="BT273" s="78">
        <f t="shared" si="306"/>
        <v>0</v>
      </c>
      <c r="BU273" s="78">
        <f t="shared" si="306"/>
        <v>0</v>
      </c>
      <c r="BV273" s="78">
        <f t="shared" si="306"/>
        <v>0</v>
      </c>
      <c r="BW273" s="78">
        <f t="shared" si="306"/>
        <v>0</v>
      </c>
      <c r="BX273" s="78">
        <f t="shared" si="306"/>
        <v>0</v>
      </c>
      <c r="BY273" s="78">
        <f t="shared" si="306"/>
        <v>0</v>
      </c>
      <c r="BZ273" s="78">
        <f t="shared" si="306"/>
        <v>0</v>
      </c>
      <c r="CA273" s="78">
        <f t="shared" si="306"/>
        <v>0</v>
      </c>
      <c r="CB273" s="78">
        <f t="shared" si="306"/>
        <v>0</v>
      </c>
      <c r="CC273" s="78">
        <f t="shared" si="306"/>
        <v>0</v>
      </c>
      <c r="CD273" s="85">
        <f t="shared" si="297"/>
        <v>0</v>
      </c>
      <c r="CE273" s="85">
        <f t="shared" si="298"/>
        <v>0</v>
      </c>
      <c r="CF273" s="2"/>
      <c r="CG273" s="78">
        <f t="shared" ref="CG273:DD273" si="307">ROUND(CG267-(CG266+CG219-CG243),2)</f>
        <v>0</v>
      </c>
      <c r="CH273" s="78">
        <f t="shared" si="307"/>
        <v>0</v>
      </c>
      <c r="CI273" s="78">
        <f t="shared" si="307"/>
        <v>0</v>
      </c>
      <c r="CJ273" s="78">
        <f t="shared" si="307"/>
        <v>0</v>
      </c>
      <c r="CK273" s="78">
        <f t="shared" si="307"/>
        <v>0</v>
      </c>
      <c r="CL273" s="78">
        <f t="shared" si="307"/>
        <v>0</v>
      </c>
      <c r="CM273" s="78">
        <f t="shared" si="307"/>
        <v>0</v>
      </c>
      <c r="CN273" s="78">
        <f t="shared" si="307"/>
        <v>0</v>
      </c>
      <c r="CO273" s="78">
        <f t="shared" si="307"/>
        <v>0</v>
      </c>
      <c r="CP273" s="78">
        <f t="shared" si="307"/>
        <v>0</v>
      </c>
      <c r="CQ273" s="78">
        <f t="shared" si="307"/>
        <v>0</v>
      </c>
      <c r="CR273" s="78">
        <f t="shared" si="307"/>
        <v>0</v>
      </c>
      <c r="CS273" s="78">
        <f t="shared" si="307"/>
        <v>0</v>
      </c>
      <c r="CT273" s="78">
        <f t="shared" si="307"/>
        <v>0</v>
      </c>
      <c r="CU273" s="78">
        <f t="shared" si="307"/>
        <v>0</v>
      </c>
      <c r="CV273" s="78">
        <f t="shared" si="307"/>
        <v>0</v>
      </c>
      <c r="CW273" s="78">
        <f t="shared" si="307"/>
        <v>0</v>
      </c>
      <c r="CX273" s="78">
        <f t="shared" si="307"/>
        <v>0</v>
      </c>
      <c r="CY273" s="78">
        <f t="shared" si="307"/>
        <v>0</v>
      </c>
      <c r="CZ273" s="78">
        <f t="shared" si="307"/>
        <v>0</v>
      </c>
      <c r="DA273" s="78">
        <f t="shared" si="307"/>
        <v>0</v>
      </c>
      <c r="DB273" s="78">
        <f t="shared" si="307"/>
        <v>0</v>
      </c>
      <c r="DC273" s="78">
        <f t="shared" si="307"/>
        <v>0</v>
      </c>
      <c r="DD273" s="78">
        <f t="shared" si="307"/>
        <v>0</v>
      </c>
      <c r="DE273" s="85">
        <f t="shared" si="300"/>
        <v>0</v>
      </c>
      <c r="DF273" s="85">
        <f t="shared" si="301"/>
        <v>0</v>
      </c>
      <c r="DG273"/>
      <c r="DH273"/>
    </row>
    <row r="274" spans="1:112" hidden="1" x14ac:dyDescent="0.2">
      <c r="A274" s="1"/>
      <c r="B274" s="35" t="s">
        <v>196</v>
      </c>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2"/>
      <c r="AE274" s="78">
        <f t="shared" ref="AE274:BB274" si="308">ROUND(AE250-AE190*(smp_ar_days+INDEX(ref_scn_ar_adj,1))/30,2)</f>
        <v>0</v>
      </c>
      <c r="AF274" s="78">
        <f t="shared" si="308"/>
        <v>0</v>
      </c>
      <c r="AG274" s="78">
        <f t="shared" si="308"/>
        <v>0</v>
      </c>
      <c r="AH274" s="78">
        <f t="shared" si="308"/>
        <v>0</v>
      </c>
      <c r="AI274" s="78">
        <f t="shared" si="308"/>
        <v>0</v>
      </c>
      <c r="AJ274" s="78">
        <f t="shared" si="308"/>
        <v>0</v>
      </c>
      <c r="AK274" s="78">
        <f t="shared" si="308"/>
        <v>0</v>
      </c>
      <c r="AL274" s="78">
        <f t="shared" si="308"/>
        <v>0</v>
      </c>
      <c r="AM274" s="78">
        <f t="shared" si="308"/>
        <v>0</v>
      </c>
      <c r="AN274" s="78">
        <f t="shared" si="308"/>
        <v>0</v>
      </c>
      <c r="AO274" s="78">
        <f t="shared" si="308"/>
        <v>0</v>
      </c>
      <c r="AP274" s="78">
        <f t="shared" si="308"/>
        <v>0</v>
      </c>
      <c r="AQ274" s="78">
        <f t="shared" si="308"/>
        <v>0</v>
      </c>
      <c r="AR274" s="78">
        <f t="shared" si="308"/>
        <v>0</v>
      </c>
      <c r="AS274" s="78">
        <f t="shared" si="308"/>
        <v>0</v>
      </c>
      <c r="AT274" s="78">
        <f t="shared" si="308"/>
        <v>0</v>
      </c>
      <c r="AU274" s="78">
        <f t="shared" si="308"/>
        <v>0</v>
      </c>
      <c r="AV274" s="78">
        <f t="shared" si="308"/>
        <v>0</v>
      </c>
      <c r="AW274" s="78">
        <f t="shared" si="308"/>
        <v>0</v>
      </c>
      <c r="AX274" s="78">
        <f t="shared" si="308"/>
        <v>0</v>
      </c>
      <c r="AY274" s="78">
        <f t="shared" si="308"/>
        <v>0</v>
      </c>
      <c r="AZ274" s="78">
        <f t="shared" si="308"/>
        <v>0</v>
      </c>
      <c r="BA274" s="78">
        <f t="shared" si="308"/>
        <v>0</v>
      </c>
      <c r="BB274" s="78">
        <f t="shared" si="308"/>
        <v>0</v>
      </c>
      <c r="BC274" s="85">
        <f t="shared" si="294"/>
        <v>0</v>
      </c>
      <c r="BD274" s="85">
        <f t="shared" si="295"/>
        <v>0</v>
      </c>
      <c r="BE274" s="2"/>
      <c r="BF274" s="78">
        <f t="shared" ref="BF274:CC274" si="309">ROUND(BF250-BF190*(smp_ar_days+INDEX(ref_scn_ar_adj,2))/30,2)</f>
        <v>0</v>
      </c>
      <c r="BG274" s="78">
        <f t="shared" si="309"/>
        <v>0</v>
      </c>
      <c r="BH274" s="78">
        <f t="shared" si="309"/>
        <v>0</v>
      </c>
      <c r="BI274" s="78">
        <f t="shared" si="309"/>
        <v>0</v>
      </c>
      <c r="BJ274" s="78">
        <f t="shared" si="309"/>
        <v>0</v>
      </c>
      <c r="BK274" s="78">
        <f t="shared" si="309"/>
        <v>0</v>
      </c>
      <c r="BL274" s="78">
        <f t="shared" si="309"/>
        <v>0</v>
      </c>
      <c r="BM274" s="78">
        <f t="shared" si="309"/>
        <v>0</v>
      </c>
      <c r="BN274" s="78">
        <f t="shared" si="309"/>
        <v>0</v>
      </c>
      <c r="BO274" s="78">
        <f t="shared" si="309"/>
        <v>0</v>
      </c>
      <c r="BP274" s="78">
        <f t="shared" si="309"/>
        <v>0</v>
      </c>
      <c r="BQ274" s="78">
        <f t="shared" si="309"/>
        <v>0</v>
      </c>
      <c r="BR274" s="78">
        <f t="shared" si="309"/>
        <v>0</v>
      </c>
      <c r="BS274" s="78">
        <f t="shared" si="309"/>
        <v>0</v>
      </c>
      <c r="BT274" s="78">
        <f t="shared" si="309"/>
        <v>0</v>
      </c>
      <c r="BU274" s="78">
        <f t="shared" si="309"/>
        <v>0</v>
      </c>
      <c r="BV274" s="78">
        <f t="shared" si="309"/>
        <v>0</v>
      </c>
      <c r="BW274" s="78">
        <f t="shared" si="309"/>
        <v>0</v>
      </c>
      <c r="BX274" s="78">
        <f t="shared" si="309"/>
        <v>0</v>
      </c>
      <c r="BY274" s="78">
        <f t="shared" si="309"/>
        <v>0</v>
      </c>
      <c r="BZ274" s="78">
        <f t="shared" si="309"/>
        <v>0</v>
      </c>
      <c r="CA274" s="78">
        <f t="shared" si="309"/>
        <v>0</v>
      </c>
      <c r="CB274" s="78">
        <f t="shared" si="309"/>
        <v>0</v>
      </c>
      <c r="CC274" s="78">
        <f t="shared" si="309"/>
        <v>0</v>
      </c>
      <c r="CD274" s="85">
        <f t="shared" si="297"/>
        <v>0</v>
      </c>
      <c r="CE274" s="85">
        <f t="shared" si="298"/>
        <v>0</v>
      </c>
      <c r="CF274" s="2"/>
      <c r="CG274" s="78">
        <f t="shared" ref="CG274:DD274" si="310">ROUND(CG250-CG190*(smp_ar_days+INDEX(ref_scn_ar_adj,3))/30,2)</f>
        <v>0</v>
      </c>
      <c r="CH274" s="78">
        <f t="shared" si="310"/>
        <v>0</v>
      </c>
      <c r="CI274" s="78">
        <f t="shared" si="310"/>
        <v>0</v>
      </c>
      <c r="CJ274" s="78">
        <f t="shared" si="310"/>
        <v>0</v>
      </c>
      <c r="CK274" s="78">
        <f t="shared" si="310"/>
        <v>0</v>
      </c>
      <c r="CL274" s="78">
        <f t="shared" si="310"/>
        <v>0</v>
      </c>
      <c r="CM274" s="78">
        <f t="shared" si="310"/>
        <v>0</v>
      </c>
      <c r="CN274" s="78">
        <f t="shared" si="310"/>
        <v>0</v>
      </c>
      <c r="CO274" s="78">
        <f t="shared" si="310"/>
        <v>0</v>
      </c>
      <c r="CP274" s="78">
        <f t="shared" si="310"/>
        <v>0</v>
      </c>
      <c r="CQ274" s="78">
        <f t="shared" si="310"/>
        <v>0</v>
      </c>
      <c r="CR274" s="78">
        <f t="shared" si="310"/>
        <v>0</v>
      </c>
      <c r="CS274" s="78">
        <f t="shared" si="310"/>
        <v>0</v>
      </c>
      <c r="CT274" s="78">
        <f t="shared" si="310"/>
        <v>0</v>
      </c>
      <c r="CU274" s="78">
        <f t="shared" si="310"/>
        <v>0</v>
      </c>
      <c r="CV274" s="78">
        <f t="shared" si="310"/>
        <v>0</v>
      </c>
      <c r="CW274" s="78">
        <f t="shared" si="310"/>
        <v>0</v>
      </c>
      <c r="CX274" s="78">
        <f t="shared" si="310"/>
        <v>0</v>
      </c>
      <c r="CY274" s="78">
        <f t="shared" si="310"/>
        <v>0</v>
      </c>
      <c r="CZ274" s="78">
        <f t="shared" si="310"/>
        <v>0</v>
      </c>
      <c r="DA274" s="78">
        <f t="shared" si="310"/>
        <v>0</v>
      </c>
      <c r="DB274" s="78">
        <f t="shared" si="310"/>
        <v>0</v>
      </c>
      <c r="DC274" s="78">
        <f t="shared" si="310"/>
        <v>0</v>
      </c>
      <c r="DD274" s="78">
        <f t="shared" si="310"/>
        <v>0</v>
      </c>
      <c r="DE274" s="85">
        <f t="shared" si="300"/>
        <v>0</v>
      </c>
      <c r="DF274" s="85">
        <f t="shared" si="301"/>
        <v>0</v>
      </c>
      <c r="DG274"/>
      <c r="DH274"/>
    </row>
    <row r="275" spans="1:112" hidden="1" x14ac:dyDescent="0.2">
      <c r="A275" s="1"/>
      <c r="B275" s="35" t="s">
        <v>405</v>
      </c>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2"/>
      <c r="AE275" s="78">
        <f t="shared" ref="AE275:BB275" si="311">ROUND(AE257-AE200*(smp_ap_days+_xlfn.SINGLE(INDEX(ref_scn_ap_adj,1)))/30,2)</f>
        <v>0</v>
      </c>
      <c r="AF275" s="78">
        <f t="shared" si="311"/>
        <v>0</v>
      </c>
      <c r="AG275" s="78">
        <f t="shared" si="311"/>
        <v>0</v>
      </c>
      <c r="AH275" s="78">
        <f t="shared" si="311"/>
        <v>0</v>
      </c>
      <c r="AI275" s="78">
        <f t="shared" si="311"/>
        <v>0</v>
      </c>
      <c r="AJ275" s="78">
        <f t="shared" si="311"/>
        <v>0</v>
      </c>
      <c r="AK275" s="78">
        <f t="shared" si="311"/>
        <v>0</v>
      </c>
      <c r="AL275" s="78">
        <f t="shared" si="311"/>
        <v>0</v>
      </c>
      <c r="AM275" s="78">
        <f t="shared" si="311"/>
        <v>0</v>
      </c>
      <c r="AN275" s="78">
        <f t="shared" si="311"/>
        <v>0</v>
      </c>
      <c r="AO275" s="78">
        <f t="shared" si="311"/>
        <v>0</v>
      </c>
      <c r="AP275" s="78">
        <f t="shared" si="311"/>
        <v>0</v>
      </c>
      <c r="AQ275" s="78">
        <f t="shared" si="311"/>
        <v>0</v>
      </c>
      <c r="AR275" s="78">
        <f t="shared" si="311"/>
        <v>0</v>
      </c>
      <c r="AS275" s="78">
        <f t="shared" si="311"/>
        <v>0</v>
      </c>
      <c r="AT275" s="78">
        <f t="shared" si="311"/>
        <v>0</v>
      </c>
      <c r="AU275" s="78">
        <f t="shared" si="311"/>
        <v>0</v>
      </c>
      <c r="AV275" s="78">
        <f t="shared" si="311"/>
        <v>0</v>
      </c>
      <c r="AW275" s="78">
        <f t="shared" si="311"/>
        <v>0</v>
      </c>
      <c r="AX275" s="78">
        <f t="shared" si="311"/>
        <v>0</v>
      </c>
      <c r="AY275" s="78">
        <f t="shared" si="311"/>
        <v>0</v>
      </c>
      <c r="AZ275" s="78">
        <f t="shared" si="311"/>
        <v>0</v>
      </c>
      <c r="BA275" s="78">
        <f t="shared" si="311"/>
        <v>0</v>
      </c>
      <c r="BB275" s="78">
        <f t="shared" si="311"/>
        <v>0</v>
      </c>
      <c r="BC275" s="85">
        <f t="shared" si="294"/>
        <v>0</v>
      </c>
      <c r="BD275" s="85">
        <f t="shared" si="295"/>
        <v>0</v>
      </c>
      <c r="BE275" s="2"/>
      <c r="BF275" s="78">
        <f t="shared" ref="BF275:CC275" si="312">ROUND(BF257-BF200*(smp_ap_days+_xlfn.SINGLE(INDEX(ref_scn_ap_adj,2)))/30,2)</f>
        <v>0</v>
      </c>
      <c r="BG275" s="78">
        <f t="shared" si="312"/>
        <v>0</v>
      </c>
      <c r="BH275" s="78">
        <f t="shared" si="312"/>
        <v>0</v>
      </c>
      <c r="BI275" s="78">
        <f t="shared" si="312"/>
        <v>0</v>
      </c>
      <c r="BJ275" s="78">
        <f t="shared" si="312"/>
        <v>0</v>
      </c>
      <c r="BK275" s="78">
        <f t="shared" si="312"/>
        <v>0</v>
      </c>
      <c r="BL275" s="78">
        <f t="shared" si="312"/>
        <v>0</v>
      </c>
      <c r="BM275" s="78">
        <f t="shared" si="312"/>
        <v>0</v>
      </c>
      <c r="BN275" s="78">
        <f t="shared" si="312"/>
        <v>0</v>
      </c>
      <c r="BO275" s="78">
        <f t="shared" si="312"/>
        <v>0</v>
      </c>
      <c r="BP275" s="78">
        <f t="shared" si="312"/>
        <v>0</v>
      </c>
      <c r="BQ275" s="78">
        <f t="shared" si="312"/>
        <v>0</v>
      </c>
      <c r="BR275" s="78">
        <f t="shared" si="312"/>
        <v>0</v>
      </c>
      <c r="BS275" s="78">
        <f t="shared" si="312"/>
        <v>0</v>
      </c>
      <c r="BT275" s="78">
        <f t="shared" si="312"/>
        <v>0</v>
      </c>
      <c r="BU275" s="78">
        <f t="shared" si="312"/>
        <v>0</v>
      </c>
      <c r="BV275" s="78">
        <f t="shared" si="312"/>
        <v>0</v>
      </c>
      <c r="BW275" s="78">
        <f t="shared" si="312"/>
        <v>0</v>
      </c>
      <c r="BX275" s="78">
        <f t="shared" si="312"/>
        <v>0</v>
      </c>
      <c r="BY275" s="78">
        <f t="shared" si="312"/>
        <v>0</v>
      </c>
      <c r="BZ275" s="78">
        <f t="shared" si="312"/>
        <v>0</v>
      </c>
      <c r="CA275" s="78">
        <f t="shared" si="312"/>
        <v>0</v>
      </c>
      <c r="CB275" s="78">
        <f t="shared" si="312"/>
        <v>0</v>
      </c>
      <c r="CC275" s="78">
        <f t="shared" si="312"/>
        <v>0</v>
      </c>
      <c r="CD275" s="85">
        <f t="shared" si="297"/>
        <v>0</v>
      </c>
      <c r="CE275" s="85">
        <f t="shared" si="298"/>
        <v>0</v>
      </c>
      <c r="CF275" s="2"/>
      <c r="CG275" s="78">
        <f t="shared" ref="CG275:DD275" si="313">ROUND(CG257-CG200*(smp_ap_days+_xlfn.SINGLE(INDEX(ref_scn_ap_adj,3)))/30,2)</f>
        <v>0</v>
      </c>
      <c r="CH275" s="78">
        <f t="shared" si="313"/>
        <v>0</v>
      </c>
      <c r="CI275" s="78">
        <f t="shared" si="313"/>
        <v>0</v>
      </c>
      <c r="CJ275" s="78">
        <f t="shared" si="313"/>
        <v>0</v>
      </c>
      <c r="CK275" s="78">
        <f t="shared" si="313"/>
        <v>0</v>
      </c>
      <c r="CL275" s="78">
        <f t="shared" si="313"/>
        <v>0</v>
      </c>
      <c r="CM275" s="78">
        <f t="shared" si="313"/>
        <v>0</v>
      </c>
      <c r="CN275" s="78">
        <f t="shared" si="313"/>
        <v>0</v>
      </c>
      <c r="CO275" s="78">
        <f t="shared" si="313"/>
        <v>0</v>
      </c>
      <c r="CP275" s="78">
        <f t="shared" si="313"/>
        <v>0</v>
      </c>
      <c r="CQ275" s="78">
        <f t="shared" si="313"/>
        <v>0</v>
      </c>
      <c r="CR275" s="78">
        <f t="shared" si="313"/>
        <v>0</v>
      </c>
      <c r="CS275" s="78">
        <f t="shared" si="313"/>
        <v>0</v>
      </c>
      <c r="CT275" s="78">
        <f t="shared" si="313"/>
        <v>0</v>
      </c>
      <c r="CU275" s="78">
        <f t="shared" si="313"/>
        <v>0</v>
      </c>
      <c r="CV275" s="78">
        <f t="shared" si="313"/>
        <v>0</v>
      </c>
      <c r="CW275" s="78">
        <f t="shared" si="313"/>
        <v>0</v>
      </c>
      <c r="CX275" s="78">
        <f t="shared" si="313"/>
        <v>0</v>
      </c>
      <c r="CY275" s="78">
        <f t="shared" si="313"/>
        <v>0</v>
      </c>
      <c r="CZ275" s="78">
        <f t="shared" si="313"/>
        <v>0</v>
      </c>
      <c r="DA275" s="78">
        <f t="shared" si="313"/>
        <v>0</v>
      </c>
      <c r="DB275" s="78">
        <f t="shared" si="313"/>
        <v>0</v>
      </c>
      <c r="DC275" s="78">
        <f t="shared" si="313"/>
        <v>0</v>
      </c>
      <c r="DD275" s="78">
        <f t="shared" si="313"/>
        <v>0</v>
      </c>
      <c r="DE275" s="85">
        <f t="shared" si="300"/>
        <v>0</v>
      </c>
      <c r="DF275" s="85">
        <f t="shared" si="301"/>
        <v>0</v>
      </c>
      <c r="DG275"/>
      <c r="DH275"/>
    </row>
    <row r="276" spans="1:112" hidden="1" x14ac:dyDescent="0.2">
      <c r="A276" s="1"/>
      <c r="B276" s="35" t="s">
        <v>197</v>
      </c>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2"/>
      <c r="AE276" s="78">
        <f t="shared" ref="AE276:BB276" si="314">ROUND(AE261-(AE215+AE241-AE242),2)</f>
        <v>0</v>
      </c>
      <c r="AF276" s="78">
        <f t="shared" si="314"/>
        <v>0</v>
      </c>
      <c r="AG276" s="78">
        <f t="shared" si="314"/>
        <v>0</v>
      </c>
      <c r="AH276" s="78">
        <f t="shared" si="314"/>
        <v>0</v>
      </c>
      <c r="AI276" s="78">
        <f t="shared" si="314"/>
        <v>0</v>
      </c>
      <c r="AJ276" s="78">
        <f t="shared" si="314"/>
        <v>0</v>
      </c>
      <c r="AK276" s="78">
        <f t="shared" si="314"/>
        <v>0</v>
      </c>
      <c r="AL276" s="78">
        <f t="shared" si="314"/>
        <v>0</v>
      </c>
      <c r="AM276" s="78">
        <f t="shared" si="314"/>
        <v>0</v>
      </c>
      <c r="AN276" s="78">
        <f t="shared" si="314"/>
        <v>0</v>
      </c>
      <c r="AO276" s="78">
        <f t="shared" si="314"/>
        <v>0</v>
      </c>
      <c r="AP276" s="78">
        <f t="shared" si="314"/>
        <v>0</v>
      </c>
      <c r="AQ276" s="78">
        <f t="shared" si="314"/>
        <v>0</v>
      </c>
      <c r="AR276" s="78">
        <f t="shared" si="314"/>
        <v>0</v>
      </c>
      <c r="AS276" s="78">
        <f t="shared" si="314"/>
        <v>0</v>
      </c>
      <c r="AT276" s="78">
        <f t="shared" si="314"/>
        <v>0</v>
      </c>
      <c r="AU276" s="78">
        <f t="shared" si="314"/>
        <v>0</v>
      </c>
      <c r="AV276" s="78">
        <f t="shared" si="314"/>
        <v>0</v>
      </c>
      <c r="AW276" s="78">
        <f t="shared" si="314"/>
        <v>0</v>
      </c>
      <c r="AX276" s="78">
        <f t="shared" si="314"/>
        <v>0</v>
      </c>
      <c r="AY276" s="78">
        <f t="shared" si="314"/>
        <v>0</v>
      </c>
      <c r="AZ276" s="78">
        <f t="shared" si="314"/>
        <v>0</v>
      </c>
      <c r="BA276" s="78">
        <f t="shared" si="314"/>
        <v>0</v>
      </c>
      <c r="BB276" s="78">
        <f t="shared" si="314"/>
        <v>0</v>
      </c>
      <c r="BC276" s="85">
        <f t="shared" si="294"/>
        <v>0</v>
      </c>
      <c r="BD276" s="85">
        <f t="shared" si="295"/>
        <v>0</v>
      </c>
      <c r="BE276" s="2"/>
      <c r="BF276" s="78">
        <f t="shared" ref="BF276:CC276" si="315">ROUND(BF261-(BF215+BF241-BF242),2)</f>
        <v>0</v>
      </c>
      <c r="BG276" s="78">
        <f t="shared" si="315"/>
        <v>0</v>
      </c>
      <c r="BH276" s="78">
        <f t="shared" si="315"/>
        <v>0</v>
      </c>
      <c r="BI276" s="78">
        <f t="shared" si="315"/>
        <v>0</v>
      </c>
      <c r="BJ276" s="78">
        <f t="shared" si="315"/>
        <v>0</v>
      </c>
      <c r="BK276" s="78">
        <f t="shared" si="315"/>
        <v>0</v>
      </c>
      <c r="BL276" s="78">
        <f t="shared" si="315"/>
        <v>0</v>
      </c>
      <c r="BM276" s="78">
        <f t="shared" si="315"/>
        <v>0</v>
      </c>
      <c r="BN276" s="78">
        <f t="shared" si="315"/>
        <v>0</v>
      </c>
      <c r="BO276" s="78">
        <f t="shared" si="315"/>
        <v>0</v>
      </c>
      <c r="BP276" s="78">
        <f t="shared" si="315"/>
        <v>0</v>
      </c>
      <c r="BQ276" s="78">
        <f t="shared" si="315"/>
        <v>0</v>
      </c>
      <c r="BR276" s="78">
        <f t="shared" si="315"/>
        <v>0</v>
      </c>
      <c r="BS276" s="78">
        <f t="shared" si="315"/>
        <v>0</v>
      </c>
      <c r="BT276" s="78">
        <f t="shared" si="315"/>
        <v>0</v>
      </c>
      <c r="BU276" s="78">
        <f t="shared" si="315"/>
        <v>0</v>
      </c>
      <c r="BV276" s="78">
        <f t="shared" si="315"/>
        <v>0</v>
      </c>
      <c r="BW276" s="78">
        <f t="shared" si="315"/>
        <v>0</v>
      </c>
      <c r="BX276" s="78">
        <f t="shared" si="315"/>
        <v>0</v>
      </c>
      <c r="BY276" s="78">
        <f t="shared" si="315"/>
        <v>0</v>
      </c>
      <c r="BZ276" s="78">
        <f t="shared" si="315"/>
        <v>0</v>
      </c>
      <c r="CA276" s="78">
        <f t="shared" si="315"/>
        <v>0</v>
      </c>
      <c r="CB276" s="78">
        <f t="shared" si="315"/>
        <v>0</v>
      </c>
      <c r="CC276" s="78">
        <f t="shared" si="315"/>
        <v>0</v>
      </c>
      <c r="CD276" s="85">
        <f t="shared" si="297"/>
        <v>0</v>
      </c>
      <c r="CE276" s="85">
        <f t="shared" si="298"/>
        <v>0</v>
      </c>
      <c r="CF276" s="2"/>
      <c r="CG276" s="78">
        <f t="shared" ref="CG276:DD276" si="316">ROUND(CG261-(CG215+CG241-CG242),2)</f>
        <v>0</v>
      </c>
      <c r="CH276" s="78">
        <f t="shared" si="316"/>
        <v>0</v>
      </c>
      <c r="CI276" s="78">
        <f t="shared" si="316"/>
        <v>0</v>
      </c>
      <c r="CJ276" s="78">
        <f t="shared" si="316"/>
        <v>0</v>
      </c>
      <c r="CK276" s="78">
        <f t="shared" si="316"/>
        <v>0</v>
      </c>
      <c r="CL276" s="78">
        <f t="shared" si="316"/>
        <v>0</v>
      </c>
      <c r="CM276" s="78">
        <f t="shared" si="316"/>
        <v>0</v>
      </c>
      <c r="CN276" s="78">
        <f t="shared" si="316"/>
        <v>0</v>
      </c>
      <c r="CO276" s="78">
        <f t="shared" si="316"/>
        <v>0</v>
      </c>
      <c r="CP276" s="78">
        <f t="shared" si="316"/>
        <v>0</v>
      </c>
      <c r="CQ276" s="78">
        <f t="shared" si="316"/>
        <v>0</v>
      </c>
      <c r="CR276" s="78">
        <f t="shared" si="316"/>
        <v>0</v>
      </c>
      <c r="CS276" s="78">
        <f t="shared" si="316"/>
        <v>0</v>
      </c>
      <c r="CT276" s="78">
        <f t="shared" si="316"/>
        <v>0</v>
      </c>
      <c r="CU276" s="78">
        <f t="shared" si="316"/>
        <v>0</v>
      </c>
      <c r="CV276" s="78">
        <f t="shared" si="316"/>
        <v>0</v>
      </c>
      <c r="CW276" s="78">
        <f t="shared" si="316"/>
        <v>0</v>
      </c>
      <c r="CX276" s="78">
        <f t="shared" si="316"/>
        <v>0</v>
      </c>
      <c r="CY276" s="78">
        <f t="shared" si="316"/>
        <v>0</v>
      </c>
      <c r="CZ276" s="78">
        <f t="shared" si="316"/>
        <v>0</v>
      </c>
      <c r="DA276" s="78">
        <f t="shared" si="316"/>
        <v>0</v>
      </c>
      <c r="DB276" s="78">
        <f t="shared" si="316"/>
        <v>0</v>
      </c>
      <c r="DC276" s="78">
        <f t="shared" si="316"/>
        <v>0</v>
      </c>
      <c r="DD276" s="78">
        <f t="shared" si="316"/>
        <v>0</v>
      </c>
      <c r="DE276" s="85">
        <f t="shared" si="300"/>
        <v>0</v>
      </c>
      <c r="DF276" s="85">
        <f t="shared" si="301"/>
        <v>0</v>
      </c>
      <c r="DG276"/>
      <c r="DH276"/>
    </row>
    <row r="277" spans="1:112" hidden="1" x14ac:dyDescent="0.2">
      <c r="A277" s="1"/>
      <c r="B277" s="35" t="s">
        <v>198</v>
      </c>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2"/>
      <c r="AE277" s="78">
        <f t="shared" ref="AE277:BB277" si="317">ROUND(AE237-(-AE223+AE226-AE229+AE232+AE236),2)</f>
        <v>0</v>
      </c>
      <c r="AF277" s="78">
        <f t="shared" si="317"/>
        <v>0</v>
      </c>
      <c r="AG277" s="78">
        <f t="shared" si="317"/>
        <v>0</v>
      </c>
      <c r="AH277" s="78">
        <f t="shared" si="317"/>
        <v>0</v>
      </c>
      <c r="AI277" s="78">
        <f t="shared" si="317"/>
        <v>0</v>
      </c>
      <c r="AJ277" s="78">
        <f t="shared" si="317"/>
        <v>0</v>
      </c>
      <c r="AK277" s="78">
        <f t="shared" si="317"/>
        <v>0</v>
      </c>
      <c r="AL277" s="78">
        <f t="shared" si="317"/>
        <v>0</v>
      </c>
      <c r="AM277" s="78">
        <f t="shared" si="317"/>
        <v>0</v>
      </c>
      <c r="AN277" s="78">
        <f t="shared" si="317"/>
        <v>0</v>
      </c>
      <c r="AO277" s="78">
        <f t="shared" si="317"/>
        <v>0</v>
      </c>
      <c r="AP277" s="78">
        <f t="shared" si="317"/>
        <v>0</v>
      </c>
      <c r="AQ277" s="78">
        <f t="shared" si="317"/>
        <v>0</v>
      </c>
      <c r="AR277" s="78">
        <f t="shared" si="317"/>
        <v>0</v>
      </c>
      <c r="AS277" s="78">
        <f t="shared" si="317"/>
        <v>0</v>
      </c>
      <c r="AT277" s="78">
        <f t="shared" si="317"/>
        <v>0</v>
      </c>
      <c r="AU277" s="78">
        <f t="shared" si="317"/>
        <v>0</v>
      </c>
      <c r="AV277" s="78">
        <f t="shared" si="317"/>
        <v>0</v>
      </c>
      <c r="AW277" s="78">
        <f t="shared" si="317"/>
        <v>0</v>
      </c>
      <c r="AX277" s="78">
        <f t="shared" si="317"/>
        <v>0</v>
      </c>
      <c r="AY277" s="78">
        <f t="shared" si="317"/>
        <v>0</v>
      </c>
      <c r="AZ277" s="78">
        <f t="shared" si="317"/>
        <v>0</v>
      </c>
      <c r="BA277" s="78">
        <f t="shared" si="317"/>
        <v>0</v>
      </c>
      <c r="BB277" s="78">
        <f t="shared" si="317"/>
        <v>0</v>
      </c>
      <c r="BC277" s="85">
        <f t="shared" si="294"/>
        <v>0</v>
      </c>
      <c r="BD277" s="85">
        <f t="shared" si="295"/>
        <v>0</v>
      </c>
      <c r="BE277" s="2"/>
      <c r="BF277" s="78">
        <f t="shared" ref="BF277:CC277" si="318">ROUND(BF237-(-BF223+BF226-BF229+BF232+BF236),2)</f>
        <v>0</v>
      </c>
      <c r="BG277" s="78">
        <f t="shared" si="318"/>
        <v>0</v>
      </c>
      <c r="BH277" s="78">
        <f t="shared" si="318"/>
        <v>0</v>
      </c>
      <c r="BI277" s="78">
        <f t="shared" si="318"/>
        <v>0</v>
      </c>
      <c r="BJ277" s="78">
        <f t="shared" si="318"/>
        <v>0</v>
      </c>
      <c r="BK277" s="78">
        <f t="shared" si="318"/>
        <v>0</v>
      </c>
      <c r="BL277" s="78">
        <f t="shared" si="318"/>
        <v>0</v>
      </c>
      <c r="BM277" s="78">
        <f t="shared" si="318"/>
        <v>0</v>
      </c>
      <c r="BN277" s="78">
        <f t="shared" si="318"/>
        <v>0</v>
      </c>
      <c r="BO277" s="78">
        <f t="shared" si="318"/>
        <v>0</v>
      </c>
      <c r="BP277" s="78">
        <f t="shared" si="318"/>
        <v>0</v>
      </c>
      <c r="BQ277" s="78">
        <f t="shared" si="318"/>
        <v>0</v>
      </c>
      <c r="BR277" s="78">
        <f t="shared" si="318"/>
        <v>0</v>
      </c>
      <c r="BS277" s="78">
        <f t="shared" si="318"/>
        <v>0</v>
      </c>
      <c r="BT277" s="78">
        <f t="shared" si="318"/>
        <v>0</v>
      </c>
      <c r="BU277" s="78">
        <f t="shared" si="318"/>
        <v>0</v>
      </c>
      <c r="BV277" s="78">
        <f t="shared" si="318"/>
        <v>0</v>
      </c>
      <c r="BW277" s="78">
        <f t="shared" si="318"/>
        <v>0</v>
      </c>
      <c r="BX277" s="78">
        <f t="shared" si="318"/>
        <v>0</v>
      </c>
      <c r="BY277" s="78">
        <f t="shared" si="318"/>
        <v>0</v>
      </c>
      <c r="BZ277" s="78">
        <f t="shared" si="318"/>
        <v>0</v>
      </c>
      <c r="CA277" s="78">
        <f t="shared" si="318"/>
        <v>0</v>
      </c>
      <c r="CB277" s="78">
        <f t="shared" si="318"/>
        <v>0</v>
      </c>
      <c r="CC277" s="78">
        <f t="shared" si="318"/>
        <v>0</v>
      </c>
      <c r="CD277" s="85">
        <f t="shared" si="297"/>
        <v>0</v>
      </c>
      <c r="CE277" s="85">
        <f t="shared" si="298"/>
        <v>0</v>
      </c>
      <c r="CF277" s="2"/>
      <c r="CG277" s="78">
        <f t="shared" ref="CG277:DD277" si="319">ROUND(CG237-(-CG223+CG226-CG229+CG232+CG236),2)</f>
        <v>0</v>
      </c>
      <c r="CH277" s="78">
        <f t="shared" si="319"/>
        <v>0</v>
      </c>
      <c r="CI277" s="78">
        <f t="shared" si="319"/>
        <v>0</v>
      </c>
      <c r="CJ277" s="78">
        <f t="shared" si="319"/>
        <v>0</v>
      </c>
      <c r="CK277" s="78">
        <f t="shared" si="319"/>
        <v>0</v>
      </c>
      <c r="CL277" s="78">
        <f t="shared" si="319"/>
        <v>0</v>
      </c>
      <c r="CM277" s="78">
        <f t="shared" si="319"/>
        <v>0</v>
      </c>
      <c r="CN277" s="78">
        <f t="shared" si="319"/>
        <v>0</v>
      </c>
      <c r="CO277" s="78">
        <f t="shared" si="319"/>
        <v>0</v>
      </c>
      <c r="CP277" s="78">
        <f t="shared" si="319"/>
        <v>0</v>
      </c>
      <c r="CQ277" s="78">
        <f t="shared" si="319"/>
        <v>0</v>
      </c>
      <c r="CR277" s="78">
        <f t="shared" si="319"/>
        <v>0</v>
      </c>
      <c r="CS277" s="78">
        <f t="shared" si="319"/>
        <v>0</v>
      </c>
      <c r="CT277" s="78">
        <f t="shared" si="319"/>
        <v>0</v>
      </c>
      <c r="CU277" s="78">
        <f t="shared" si="319"/>
        <v>0</v>
      </c>
      <c r="CV277" s="78">
        <f t="shared" si="319"/>
        <v>0</v>
      </c>
      <c r="CW277" s="78">
        <f t="shared" si="319"/>
        <v>0</v>
      </c>
      <c r="CX277" s="78">
        <f t="shared" si="319"/>
        <v>0</v>
      </c>
      <c r="CY277" s="78">
        <f t="shared" si="319"/>
        <v>0</v>
      </c>
      <c r="CZ277" s="78">
        <f t="shared" si="319"/>
        <v>0</v>
      </c>
      <c r="DA277" s="78">
        <f t="shared" si="319"/>
        <v>0</v>
      </c>
      <c r="DB277" s="78">
        <f t="shared" si="319"/>
        <v>0</v>
      </c>
      <c r="DC277" s="78">
        <f t="shared" si="319"/>
        <v>0</v>
      </c>
      <c r="DD277" s="78">
        <f t="shared" si="319"/>
        <v>0</v>
      </c>
      <c r="DE277" s="85">
        <f t="shared" si="300"/>
        <v>0</v>
      </c>
      <c r="DF277" s="85">
        <f t="shared" si="301"/>
        <v>0</v>
      </c>
      <c r="DG277"/>
      <c r="DH277"/>
    </row>
    <row r="278" spans="1:112" hidden="1" x14ac:dyDescent="0.2">
      <c r="A278" s="1"/>
      <c r="B278" s="35" t="s">
        <v>199</v>
      </c>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2"/>
      <c r="AE278" s="78">
        <f t="shared" ref="AE278:BB278" si="320">ROUND((AE254-AE253)-(AE239-AE213),2)</f>
        <v>0</v>
      </c>
      <c r="AF278" s="78">
        <f t="shared" si="320"/>
        <v>0</v>
      </c>
      <c r="AG278" s="78">
        <f t="shared" si="320"/>
        <v>0</v>
      </c>
      <c r="AH278" s="78">
        <f t="shared" si="320"/>
        <v>0</v>
      </c>
      <c r="AI278" s="78">
        <f t="shared" si="320"/>
        <v>0</v>
      </c>
      <c r="AJ278" s="78">
        <f t="shared" si="320"/>
        <v>0</v>
      </c>
      <c r="AK278" s="78">
        <f t="shared" si="320"/>
        <v>0</v>
      </c>
      <c r="AL278" s="78">
        <f t="shared" si="320"/>
        <v>0</v>
      </c>
      <c r="AM278" s="78">
        <f t="shared" si="320"/>
        <v>0</v>
      </c>
      <c r="AN278" s="78">
        <f t="shared" si="320"/>
        <v>0</v>
      </c>
      <c r="AO278" s="78">
        <f t="shared" si="320"/>
        <v>0</v>
      </c>
      <c r="AP278" s="78">
        <f t="shared" si="320"/>
        <v>0</v>
      </c>
      <c r="AQ278" s="78">
        <f t="shared" si="320"/>
        <v>0</v>
      </c>
      <c r="AR278" s="78">
        <f t="shared" si="320"/>
        <v>0</v>
      </c>
      <c r="AS278" s="78">
        <f t="shared" si="320"/>
        <v>0</v>
      </c>
      <c r="AT278" s="78">
        <f t="shared" si="320"/>
        <v>0</v>
      </c>
      <c r="AU278" s="78">
        <f t="shared" si="320"/>
        <v>0</v>
      </c>
      <c r="AV278" s="78">
        <f t="shared" si="320"/>
        <v>0</v>
      </c>
      <c r="AW278" s="78">
        <f t="shared" si="320"/>
        <v>0</v>
      </c>
      <c r="AX278" s="78">
        <f t="shared" si="320"/>
        <v>0</v>
      </c>
      <c r="AY278" s="78">
        <f t="shared" si="320"/>
        <v>0</v>
      </c>
      <c r="AZ278" s="78">
        <f t="shared" si="320"/>
        <v>0</v>
      </c>
      <c r="BA278" s="78">
        <f t="shared" si="320"/>
        <v>0</v>
      </c>
      <c r="BB278" s="78">
        <f t="shared" si="320"/>
        <v>0</v>
      </c>
      <c r="BC278" s="85">
        <f t="shared" si="294"/>
        <v>0</v>
      </c>
      <c r="BD278" s="85">
        <f t="shared" si="295"/>
        <v>0</v>
      </c>
      <c r="BE278" s="2"/>
      <c r="BF278" s="78">
        <f t="shared" ref="BF278:CC278" si="321">ROUND((BF254-BF253)-(BF239-BF213),2)</f>
        <v>0</v>
      </c>
      <c r="BG278" s="78">
        <f t="shared" si="321"/>
        <v>0</v>
      </c>
      <c r="BH278" s="78">
        <f t="shared" si="321"/>
        <v>0</v>
      </c>
      <c r="BI278" s="78">
        <f t="shared" si="321"/>
        <v>0</v>
      </c>
      <c r="BJ278" s="78">
        <f t="shared" si="321"/>
        <v>0</v>
      </c>
      <c r="BK278" s="78">
        <f t="shared" si="321"/>
        <v>0</v>
      </c>
      <c r="BL278" s="78">
        <f t="shared" si="321"/>
        <v>0</v>
      </c>
      <c r="BM278" s="78">
        <f t="shared" si="321"/>
        <v>0</v>
      </c>
      <c r="BN278" s="78">
        <f t="shared" si="321"/>
        <v>0</v>
      </c>
      <c r="BO278" s="78">
        <f t="shared" si="321"/>
        <v>0</v>
      </c>
      <c r="BP278" s="78">
        <f t="shared" si="321"/>
        <v>0</v>
      </c>
      <c r="BQ278" s="78">
        <f t="shared" si="321"/>
        <v>0</v>
      </c>
      <c r="BR278" s="78">
        <f t="shared" si="321"/>
        <v>0</v>
      </c>
      <c r="BS278" s="78">
        <f t="shared" si="321"/>
        <v>0</v>
      </c>
      <c r="BT278" s="78">
        <f t="shared" si="321"/>
        <v>0</v>
      </c>
      <c r="BU278" s="78">
        <f t="shared" si="321"/>
        <v>0</v>
      </c>
      <c r="BV278" s="78">
        <f t="shared" si="321"/>
        <v>0</v>
      </c>
      <c r="BW278" s="78">
        <f t="shared" si="321"/>
        <v>0</v>
      </c>
      <c r="BX278" s="78">
        <f t="shared" si="321"/>
        <v>0</v>
      </c>
      <c r="BY278" s="78">
        <f t="shared" si="321"/>
        <v>0</v>
      </c>
      <c r="BZ278" s="78">
        <f t="shared" si="321"/>
        <v>0</v>
      </c>
      <c r="CA278" s="78">
        <f t="shared" si="321"/>
        <v>0</v>
      </c>
      <c r="CB278" s="78">
        <f t="shared" si="321"/>
        <v>0</v>
      </c>
      <c r="CC278" s="78">
        <f t="shared" si="321"/>
        <v>0</v>
      </c>
      <c r="CD278" s="85">
        <f t="shared" si="297"/>
        <v>0</v>
      </c>
      <c r="CE278" s="85">
        <f t="shared" si="298"/>
        <v>0</v>
      </c>
      <c r="CF278" s="2"/>
      <c r="CG278" s="78">
        <f t="shared" ref="CG278:DD278" si="322">ROUND((CG254-CG253)-(CG239-CG213),2)</f>
        <v>0</v>
      </c>
      <c r="CH278" s="78">
        <f t="shared" si="322"/>
        <v>0</v>
      </c>
      <c r="CI278" s="78">
        <f t="shared" si="322"/>
        <v>0</v>
      </c>
      <c r="CJ278" s="78">
        <f t="shared" si="322"/>
        <v>0</v>
      </c>
      <c r="CK278" s="78">
        <f t="shared" si="322"/>
        <v>0</v>
      </c>
      <c r="CL278" s="78">
        <f t="shared" si="322"/>
        <v>0</v>
      </c>
      <c r="CM278" s="78">
        <f t="shared" si="322"/>
        <v>0</v>
      </c>
      <c r="CN278" s="78">
        <f t="shared" si="322"/>
        <v>0</v>
      </c>
      <c r="CO278" s="78">
        <f t="shared" si="322"/>
        <v>0</v>
      </c>
      <c r="CP278" s="78">
        <f t="shared" si="322"/>
        <v>0</v>
      </c>
      <c r="CQ278" s="78">
        <f t="shared" si="322"/>
        <v>0</v>
      </c>
      <c r="CR278" s="78">
        <f t="shared" si="322"/>
        <v>0</v>
      </c>
      <c r="CS278" s="78">
        <f t="shared" si="322"/>
        <v>0</v>
      </c>
      <c r="CT278" s="78">
        <f t="shared" si="322"/>
        <v>0</v>
      </c>
      <c r="CU278" s="78">
        <f t="shared" si="322"/>
        <v>0</v>
      </c>
      <c r="CV278" s="78">
        <f t="shared" si="322"/>
        <v>0</v>
      </c>
      <c r="CW278" s="78">
        <f t="shared" si="322"/>
        <v>0</v>
      </c>
      <c r="CX278" s="78">
        <f t="shared" si="322"/>
        <v>0</v>
      </c>
      <c r="CY278" s="78">
        <f t="shared" si="322"/>
        <v>0</v>
      </c>
      <c r="CZ278" s="78">
        <f t="shared" si="322"/>
        <v>0</v>
      </c>
      <c r="DA278" s="78">
        <f t="shared" si="322"/>
        <v>0</v>
      </c>
      <c r="DB278" s="78">
        <f t="shared" si="322"/>
        <v>0</v>
      </c>
      <c r="DC278" s="78">
        <f t="shared" si="322"/>
        <v>0</v>
      </c>
      <c r="DD278" s="78">
        <f t="shared" si="322"/>
        <v>0</v>
      </c>
      <c r="DE278" s="85">
        <f t="shared" si="300"/>
        <v>0</v>
      </c>
      <c r="DF278" s="85">
        <f t="shared" si="301"/>
        <v>0</v>
      </c>
      <c r="DG278"/>
      <c r="DH278"/>
    </row>
    <row r="279" spans="1:112" hidden="1" x14ac:dyDescent="0.2">
      <c r="A279" s="1"/>
      <c r="B279" s="35" t="s">
        <v>200</v>
      </c>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2"/>
      <c r="AE279" s="69">
        <f t="shared" ref="AE279:BB279" si="323">AE216+AE242</f>
        <v>10458</v>
      </c>
      <c r="AF279" s="69">
        <f t="shared" si="323"/>
        <v>10398.974583333333</v>
      </c>
      <c r="AG279" s="69">
        <f t="shared" si="323"/>
        <v>10339.949166666667</v>
      </c>
      <c r="AH279" s="69">
        <f t="shared" si="323"/>
        <v>10280.92375</v>
      </c>
      <c r="AI279" s="69">
        <f t="shared" si="323"/>
        <v>10221.898333333334</v>
      </c>
      <c r="AJ279" s="69">
        <f t="shared" si="323"/>
        <v>10162.872916666667</v>
      </c>
      <c r="AK279" s="69">
        <f t="shared" si="323"/>
        <v>10103.8475</v>
      </c>
      <c r="AL279" s="69">
        <f t="shared" si="323"/>
        <v>10044.822083333333</v>
      </c>
      <c r="AM279" s="69">
        <f t="shared" si="323"/>
        <v>9985.7966666666671</v>
      </c>
      <c r="AN279" s="69">
        <f t="shared" si="323"/>
        <v>9926.7712499999998</v>
      </c>
      <c r="AO279" s="69">
        <f t="shared" si="323"/>
        <v>9867.7458333333343</v>
      </c>
      <c r="AP279" s="69">
        <f t="shared" si="323"/>
        <v>9808.720416666667</v>
      </c>
      <c r="AQ279" s="69">
        <f t="shared" si="323"/>
        <v>9749.6949999999997</v>
      </c>
      <c r="AR279" s="69">
        <f t="shared" si="323"/>
        <v>9690.6695833333342</v>
      </c>
      <c r="AS279" s="69">
        <f t="shared" si="323"/>
        <v>9631.6441666666669</v>
      </c>
      <c r="AT279" s="69">
        <f t="shared" si="323"/>
        <v>9572.6187499999996</v>
      </c>
      <c r="AU279" s="69">
        <f t="shared" si="323"/>
        <v>9513.5933333333342</v>
      </c>
      <c r="AV279" s="69">
        <f t="shared" si="323"/>
        <v>9454.5679166666669</v>
      </c>
      <c r="AW279" s="69">
        <f t="shared" si="323"/>
        <v>9395.5424999999996</v>
      </c>
      <c r="AX279" s="69">
        <f t="shared" si="323"/>
        <v>9336.5170833333341</v>
      </c>
      <c r="AY279" s="69">
        <f t="shared" si="323"/>
        <v>9277.4916666666668</v>
      </c>
      <c r="AZ279" s="69">
        <f t="shared" si="323"/>
        <v>9218.4662499999995</v>
      </c>
      <c r="BA279" s="69">
        <f t="shared" si="323"/>
        <v>9159.440833333334</v>
      </c>
      <c r="BB279" s="69">
        <f t="shared" si="323"/>
        <v>9100.4154166666667</v>
      </c>
      <c r="BC279" s="70">
        <f>SUM(AE279:AP279)</f>
        <v>121600.32249999999</v>
      </c>
      <c r="BD279" s="70">
        <f>SUM(AQ279:BB279)</f>
        <v>113100.66250000002</v>
      </c>
      <c r="BE279" s="2"/>
      <c r="BF279" s="69">
        <f t="shared" ref="BF279:CC279" si="324">BF216+BF242</f>
        <v>10458</v>
      </c>
      <c r="BG279" s="69">
        <f t="shared" si="324"/>
        <v>10398.974583333333</v>
      </c>
      <c r="BH279" s="69">
        <f t="shared" si="324"/>
        <v>10339.949166666667</v>
      </c>
      <c r="BI279" s="69">
        <f t="shared" si="324"/>
        <v>10280.92375</v>
      </c>
      <c r="BJ279" s="69">
        <f t="shared" si="324"/>
        <v>10221.898333333334</v>
      </c>
      <c r="BK279" s="69">
        <f t="shared" si="324"/>
        <v>10162.872916666667</v>
      </c>
      <c r="BL279" s="69">
        <f t="shared" si="324"/>
        <v>10103.8475</v>
      </c>
      <c r="BM279" s="69">
        <f t="shared" si="324"/>
        <v>10044.822083333333</v>
      </c>
      <c r="BN279" s="69">
        <f t="shared" si="324"/>
        <v>9985.7966666666671</v>
      </c>
      <c r="BO279" s="69">
        <f t="shared" si="324"/>
        <v>9926.7712499999998</v>
      </c>
      <c r="BP279" s="69">
        <f t="shared" si="324"/>
        <v>9867.7458333333343</v>
      </c>
      <c r="BQ279" s="69">
        <f t="shared" si="324"/>
        <v>9808.720416666667</v>
      </c>
      <c r="BR279" s="69">
        <f t="shared" si="324"/>
        <v>9749.6949999999997</v>
      </c>
      <c r="BS279" s="69">
        <f t="shared" si="324"/>
        <v>9690.6695833333342</v>
      </c>
      <c r="BT279" s="69">
        <f t="shared" si="324"/>
        <v>9631.6441666666669</v>
      </c>
      <c r="BU279" s="69">
        <f t="shared" si="324"/>
        <v>9572.6187499999996</v>
      </c>
      <c r="BV279" s="69">
        <f t="shared" si="324"/>
        <v>9513.5933333333342</v>
      </c>
      <c r="BW279" s="69">
        <f t="shared" si="324"/>
        <v>9454.5679166666669</v>
      </c>
      <c r="BX279" s="69">
        <f t="shared" si="324"/>
        <v>9395.5424999999996</v>
      </c>
      <c r="BY279" s="69">
        <f t="shared" si="324"/>
        <v>9336.5170833333341</v>
      </c>
      <c r="BZ279" s="69">
        <f t="shared" si="324"/>
        <v>9277.4916666666668</v>
      </c>
      <c r="CA279" s="69">
        <f t="shared" si="324"/>
        <v>9218.4662499999995</v>
      </c>
      <c r="CB279" s="69">
        <f t="shared" si="324"/>
        <v>9159.440833333334</v>
      </c>
      <c r="CC279" s="69">
        <f t="shared" si="324"/>
        <v>9100.4154166666667</v>
      </c>
      <c r="CD279" s="70">
        <f>SUM(BF279:BQ279)</f>
        <v>121600.32249999999</v>
      </c>
      <c r="CE279" s="70">
        <f>SUM(BR279:CC279)</f>
        <v>113100.66250000002</v>
      </c>
      <c r="CF279" s="2"/>
      <c r="CG279" s="69">
        <f t="shared" ref="CG279:DD279" si="325">CG216+CG242</f>
        <v>10458</v>
      </c>
      <c r="CH279" s="69">
        <f t="shared" si="325"/>
        <v>10398.974583333333</v>
      </c>
      <c r="CI279" s="69">
        <f t="shared" si="325"/>
        <v>10339.949166666667</v>
      </c>
      <c r="CJ279" s="69">
        <f t="shared" si="325"/>
        <v>10280.92375</v>
      </c>
      <c r="CK279" s="69">
        <f t="shared" si="325"/>
        <v>10221.898333333334</v>
      </c>
      <c r="CL279" s="69">
        <f t="shared" si="325"/>
        <v>10162.872916666667</v>
      </c>
      <c r="CM279" s="69">
        <f t="shared" si="325"/>
        <v>10103.8475</v>
      </c>
      <c r="CN279" s="69">
        <f t="shared" si="325"/>
        <v>10044.822083333333</v>
      </c>
      <c r="CO279" s="69">
        <f t="shared" si="325"/>
        <v>9985.7966666666671</v>
      </c>
      <c r="CP279" s="69">
        <f t="shared" si="325"/>
        <v>9926.7712499999998</v>
      </c>
      <c r="CQ279" s="69">
        <f t="shared" si="325"/>
        <v>9867.7458333333343</v>
      </c>
      <c r="CR279" s="69">
        <f t="shared" si="325"/>
        <v>9808.720416666667</v>
      </c>
      <c r="CS279" s="69">
        <f t="shared" si="325"/>
        <v>9749.6949999999997</v>
      </c>
      <c r="CT279" s="69">
        <f t="shared" si="325"/>
        <v>9690.6695833333342</v>
      </c>
      <c r="CU279" s="69">
        <f t="shared" si="325"/>
        <v>9631.6441666666669</v>
      </c>
      <c r="CV279" s="69">
        <f t="shared" si="325"/>
        <v>9572.6187499999996</v>
      </c>
      <c r="CW279" s="69">
        <f t="shared" si="325"/>
        <v>9513.5933333333342</v>
      </c>
      <c r="CX279" s="69">
        <f t="shared" si="325"/>
        <v>9454.5679166666669</v>
      </c>
      <c r="CY279" s="69">
        <f t="shared" si="325"/>
        <v>9395.5424999999996</v>
      </c>
      <c r="CZ279" s="69">
        <f t="shared" si="325"/>
        <v>9336.5170833333341</v>
      </c>
      <c r="DA279" s="69">
        <f t="shared" si="325"/>
        <v>9277.4916666666668</v>
      </c>
      <c r="DB279" s="69">
        <f t="shared" si="325"/>
        <v>9218.4662499999995</v>
      </c>
      <c r="DC279" s="69">
        <f t="shared" si="325"/>
        <v>9159.440833333334</v>
      </c>
      <c r="DD279" s="69">
        <f t="shared" si="325"/>
        <v>9100.4154166666667</v>
      </c>
      <c r="DE279" s="70">
        <f>SUM(CG279:CR279)</f>
        <v>121600.32249999999</v>
      </c>
      <c r="DF279" s="70">
        <f>SUM(CS279:DD279)</f>
        <v>113100.66250000002</v>
      </c>
      <c r="DG279"/>
      <c r="DH279"/>
    </row>
    <row r="280" spans="1:112" hidden="1" x14ac:dyDescent="0.2">
      <c r="A280" s="1"/>
      <c r="B280" s="35" t="s">
        <v>201</v>
      </c>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2"/>
      <c r="AE280" s="73">
        <f t="shared" ref="AE280:BB280" si="326">IFERROR(AE211/AE279,0)</f>
        <v>2.5881302989736743</v>
      </c>
      <c r="AF280" s="73">
        <f t="shared" si="326"/>
        <v>3.4586743508644844</v>
      </c>
      <c r="AG280" s="73">
        <f t="shared" si="326"/>
        <v>4.4629490844531086</v>
      </c>
      <c r="AH280" s="73">
        <f t="shared" si="326"/>
        <v>5.4087227975663845</v>
      </c>
      <c r="AI280" s="73">
        <f t="shared" si="326"/>
        <v>6.2988952312999933</v>
      </c>
      <c r="AJ280" s="73">
        <f t="shared" si="326"/>
        <v>6.1209726006364278</v>
      </c>
      <c r="AK280" s="73">
        <f t="shared" si="326"/>
        <v>5.8736700713927723</v>
      </c>
      <c r="AL280" s="73">
        <f t="shared" si="326"/>
        <v>5.960948453832331</v>
      </c>
      <c r="AM280" s="73">
        <f t="shared" si="326"/>
        <v>6.9435287920609925</v>
      </c>
      <c r="AN280" s="73">
        <f t="shared" si="326"/>
        <v>7.8733220196513232</v>
      </c>
      <c r="AO280" s="73">
        <f t="shared" si="326"/>
        <v>8.6044642921234562</v>
      </c>
      <c r="AP280" s="73">
        <f t="shared" si="326"/>
        <v>8.7796025382005976</v>
      </c>
      <c r="AQ280" s="73">
        <f t="shared" si="326"/>
        <v>8.8594224400524002</v>
      </c>
      <c r="AR280" s="73">
        <f t="shared" si="326"/>
        <v>9.7533680055734031</v>
      </c>
      <c r="AS280" s="73">
        <f t="shared" si="326"/>
        <v>10.658270269362978</v>
      </c>
      <c r="AT280" s="73">
        <f t="shared" si="326"/>
        <v>11.712225211796582</v>
      </c>
      <c r="AU280" s="73">
        <f t="shared" si="326"/>
        <v>12.49019823564738</v>
      </c>
      <c r="AV280" s="73">
        <f t="shared" si="326"/>
        <v>12.556540680975067</v>
      </c>
      <c r="AW280" s="73">
        <f t="shared" si="326"/>
        <v>12.331024703114981</v>
      </c>
      <c r="AX280" s="73">
        <f t="shared" si="326"/>
        <v>12.538580031695439</v>
      </c>
      <c r="AY280" s="73">
        <f t="shared" si="326"/>
        <v>13.211185853935019</v>
      </c>
      <c r="AZ280" s="73">
        <f t="shared" si="326"/>
        <v>13.892405004646699</v>
      </c>
      <c r="BA280" s="73">
        <f t="shared" si="326"/>
        <v>14.282167333904754</v>
      </c>
      <c r="BB280" s="73">
        <f t="shared" si="326"/>
        <v>14.07261765568669</v>
      </c>
      <c r="BC280" s="74">
        <f>IFERROR(SUM(AE211:AP211)/SUM(AE279:AP279),0)</f>
        <v>5.9960367292611441</v>
      </c>
      <c r="BD280" s="74">
        <f>IFERROR(SUM(AQ211:BB211)/SUM(AQ279:BB279),0)</f>
        <v>12.163058726556976</v>
      </c>
      <c r="BE280" s="2"/>
      <c r="BF280" s="73">
        <f t="shared" ref="BF280:CC280" si="327">IFERROR(BF211/BF279,0)</f>
        <v>-1.7823556129279021</v>
      </c>
      <c r="BG280" s="73">
        <f t="shared" si="327"/>
        <v>-1.0899271759126572</v>
      </c>
      <c r="BH280" s="73">
        <f t="shared" si="327"/>
        <v>-0.28732974912271947</v>
      </c>
      <c r="BI280" s="73">
        <f t="shared" si="327"/>
        <v>0.46611327119316603</v>
      </c>
      <c r="BJ280" s="73">
        <f t="shared" si="327"/>
        <v>1.173042874130197</v>
      </c>
      <c r="BK280" s="73">
        <f t="shared" si="327"/>
        <v>1.0093184362443455</v>
      </c>
      <c r="BL280" s="73">
        <f t="shared" si="327"/>
        <v>0.78782117406265229</v>
      </c>
      <c r="BM280" s="73">
        <f t="shared" si="327"/>
        <v>0.83954199786100303</v>
      </c>
      <c r="BN280" s="73">
        <f t="shared" si="327"/>
        <v>1.6219136580322924</v>
      </c>
      <c r="BO280" s="73">
        <f t="shared" si="327"/>
        <v>2.3603293971340391</v>
      </c>
      <c r="BP280" s="73">
        <f t="shared" si="327"/>
        <v>2.9375832626414575</v>
      </c>
      <c r="BQ280" s="73">
        <f t="shared" si="327"/>
        <v>3.061026181252235</v>
      </c>
      <c r="BR280" s="73">
        <f t="shared" si="327"/>
        <v>3.098999507164069</v>
      </c>
      <c r="BS280" s="73">
        <f t="shared" si="327"/>
        <v>3.8061611411698544</v>
      </c>
      <c r="BT280" s="73">
        <f t="shared" si="327"/>
        <v>4.5219901448117223</v>
      </c>
      <c r="BU280" s="73">
        <f t="shared" si="327"/>
        <v>5.3608371272490096</v>
      </c>
      <c r="BV280" s="73">
        <f t="shared" si="327"/>
        <v>5.9744434104463844</v>
      </c>
      <c r="BW280" s="73">
        <f t="shared" si="327"/>
        <v>6.0058535197470464</v>
      </c>
      <c r="BX280" s="73">
        <f t="shared" si="327"/>
        <v>5.7990477931423312</v>
      </c>
      <c r="BY280" s="73">
        <f t="shared" si="327"/>
        <v>5.9468241212896968</v>
      </c>
      <c r="BZ280" s="73">
        <f t="shared" si="327"/>
        <v>6.4679524548212113</v>
      </c>
      <c r="CA280" s="73">
        <f t="shared" si="327"/>
        <v>6.9957543099970678</v>
      </c>
      <c r="CB280" s="73">
        <f t="shared" si="327"/>
        <v>7.2855975833313691</v>
      </c>
      <c r="CC280" s="73">
        <f t="shared" si="327"/>
        <v>7.0865034228977732</v>
      </c>
      <c r="CD280" s="74">
        <f>IFERROR(SUM(BF211:BQ211)/SUM(BF279:BQ279),0)</f>
        <v>0.89742442911695408</v>
      </c>
      <c r="CE280" s="74">
        <f>IFERROR(SUM(BR211:CC211)/SUM(BR279:CC279),0)</f>
        <v>5.6703259806280952</v>
      </c>
      <c r="CF280" s="2"/>
      <c r="CG280" s="73">
        <f t="shared" ref="CG280:DD280" si="328">IFERROR(CG211/CG279,0)</f>
        <v>5.1833078345126529</v>
      </c>
      <c r="CH280" s="73">
        <f t="shared" si="328"/>
        <v>6.1670728031317514</v>
      </c>
      <c r="CI280" s="73">
        <f t="shared" si="328"/>
        <v>7.299772186178541</v>
      </c>
      <c r="CJ280" s="73">
        <f t="shared" si="328"/>
        <v>8.3678427566718785</v>
      </c>
      <c r="CK280" s="73">
        <f t="shared" si="328"/>
        <v>9.3743833296457204</v>
      </c>
      <c r="CL280" s="73">
        <f t="shared" si="328"/>
        <v>9.186767767234457</v>
      </c>
      <c r="CM280" s="73">
        <f t="shared" si="328"/>
        <v>8.9222321826743087</v>
      </c>
      <c r="CN280" s="73">
        <f t="shared" si="328"/>
        <v>9.0315400890832098</v>
      </c>
      <c r="CO280" s="73">
        <f t="shared" si="328"/>
        <v>10.141413521004338</v>
      </c>
      <c r="CP280" s="73">
        <f t="shared" si="328"/>
        <v>11.192768578537898</v>
      </c>
      <c r="CQ280" s="73">
        <f t="shared" si="328"/>
        <v>12.021646618887548</v>
      </c>
      <c r="CR280" s="73">
        <f t="shared" si="328"/>
        <v>12.229213214142913</v>
      </c>
      <c r="CS280" s="73">
        <f t="shared" si="328"/>
        <v>12.334253874950281</v>
      </c>
      <c r="CT280" s="73">
        <f t="shared" si="328"/>
        <v>13.346666318680162</v>
      </c>
      <c r="CU280" s="73">
        <f t="shared" si="328"/>
        <v>14.371487457186479</v>
      </c>
      <c r="CV280" s="73">
        <f t="shared" si="328"/>
        <v>15.562192251031968</v>
      </c>
      <c r="CW280" s="73">
        <f t="shared" si="328"/>
        <v>16.444502918280438</v>
      </c>
      <c r="CX280" s="73">
        <f t="shared" si="328"/>
        <v>16.532297902032624</v>
      </c>
      <c r="CY280" s="73">
        <f t="shared" si="328"/>
        <v>16.293966349823151</v>
      </c>
      <c r="CZ280" s="73">
        <f t="shared" si="328"/>
        <v>16.539040410367154</v>
      </c>
      <c r="DA280" s="73">
        <f t="shared" si="328"/>
        <v>17.307052283348852</v>
      </c>
      <c r="DB280" s="73">
        <f t="shared" si="328"/>
        <v>18.08489924593837</v>
      </c>
      <c r="DC280" s="73">
        <f t="shared" si="328"/>
        <v>18.537106841220016</v>
      </c>
      <c r="DD280" s="73">
        <f t="shared" si="328"/>
        <v>18.319497044938007</v>
      </c>
      <c r="DE280" s="74">
        <f>IFERROR(SUM(CG211:CR211)/SUM(CG279:CR279),0)</f>
        <v>9.0531121741062854</v>
      </c>
      <c r="DF280" s="74">
        <f>IFERROR(SUM(CS211:DD211)/SUM(CS279:DD279),0)</f>
        <v>16.100972883337434</v>
      </c>
      <c r="DG280"/>
      <c r="DH280"/>
    </row>
    <row r="281" spans="1:112" hidden="1" x14ac:dyDescent="0.2">
      <c r="A281" s="1"/>
      <c r="B281" s="35" t="s">
        <v>202</v>
      </c>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2"/>
      <c r="AE281" s="73">
        <f t="shared" ref="AE281:BB281" si="329">IFERROR((AE238+AE240)/AE279,0)</f>
        <v>-0.51810416268247406</v>
      </c>
      <c r="AF281" s="73">
        <f t="shared" si="329"/>
        <v>1.241214568471676</v>
      </c>
      <c r="AG281" s="73">
        <f t="shared" si="329"/>
        <v>-1.4267267916130071</v>
      </c>
      <c r="AH281" s="73">
        <f t="shared" si="329"/>
        <v>-1.037681099465084</v>
      </c>
      <c r="AI281" s="73">
        <f t="shared" si="329"/>
        <v>4.0728672544352911</v>
      </c>
      <c r="AJ281" s="73">
        <f t="shared" si="329"/>
        <v>6.5469145351164819</v>
      </c>
      <c r="AK281" s="73">
        <f t="shared" si="329"/>
        <v>6.455608700876903</v>
      </c>
      <c r="AL281" s="73">
        <f t="shared" si="329"/>
        <v>1.5560038073928075</v>
      </c>
      <c r="AM281" s="73">
        <f t="shared" si="329"/>
        <v>4.5391007026980752</v>
      </c>
      <c r="AN281" s="73">
        <f t="shared" si="329"/>
        <v>1.37861196035082</v>
      </c>
      <c r="AO281" s="73">
        <f t="shared" si="329"/>
        <v>4.8378412158467379</v>
      </c>
      <c r="AP281" s="73">
        <f t="shared" si="329"/>
        <v>8.4194073649345036</v>
      </c>
      <c r="AQ281" s="73">
        <f t="shared" si="329"/>
        <v>8.6070355705144266</v>
      </c>
      <c r="AR281" s="73">
        <f t="shared" si="329"/>
        <v>7.6096905842462679</v>
      </c>
      <c r="AS281" s="73">
        <f t="shared" si="329"/>
        <v>8.5075840720513831</v>
      </c>
      <c r="AT281" s="73">
        <f t="shared" si="329"/>
        <v>-2.0255031059726059</v>
      </c>
      <c r="AU281" s="73">
        <f t="shared" si="329"/>
        <v>10.727324901421747</v>
      </c>
      <c r="AV281" s="73">
        <f t="shared" si="329"/>
        <v>12.531413364871302</v>
      </c>
      <c r="AW281" s="73">
        <f t="shared" si="329"/>
        <v>13.032221485170586</v>
      </c>
      <c r="AX281" s="73">
        <f t="shared" si="329"/>
        <v>3.3306566440884997</v>
      </c>
      <c r="AY281" s="73">
        <f t="shared" si="329"/>
        <v>11.650653598000186</v>
      </c>
      <c r="AZ281" s="73">
        <f t="shared" si="329"/>
        <v>3.334479148262143</v>
      </c>
      <c r="BA281" s="73">
        <f t="shared" si="329"/>
        <v>13.453174861747845</v>
      </c>
      <c r="BB281" s="73">
        <f t="shared" si="329"/>
        <v>14.731845940915605</v>
      </c>
      <c r="BC281" s="73">
        <f>IFERROR((SUM(AE238:AP238)+SUM(AE240:AP240))/SUM(AE279:AP279),0)</f>
        <v>2.9640257571582529</v>
      </c>
      <c r="BD281" s="73">
        <f>IFERROR((SUM(AQ238:BB238)+SUM(AQ240:BB240))/SUM(AQ279:BB279),0)</f>
        <v>8.7568430767186403</v>
      </c>
      <c r="BE281" s="2"/>
      <c r="BF281" s="73">
        <f t="shared" ref="BF281:CC281" si="330">IFERROR((BF238+BF240)/BF279,0)</f>
        <v>-5.9917336010709494</v>
      </c>
      <c r="BG281" s="73">
        <f t="shared" si="330"/>
        <v>-3.416505088903198</v>
      </c>
      <c r="BH281" s="73">
        <f t="shared" si="330"/>
        <v>-6.3030291332025374</v>
      </c>
      <c r="BI281" s="73">
        <f t="shared" si="330"/>
        <v>-2.6219723102054311</v>
      </c>
      <c r="BJ281" s="73">
        <f t="shared" si="330"/>
        <v>-1.1618471389609768</v>
      </c>
      <c r="BK281" s="73">
        <f t="shared" si="330"/>
        <v>1.4583256989954603</v>
      </c>
      <c r="BL281" s="73">
        <f t="shared" si="330"/>
        <v>1.4020151729328911</v>
      </c>
      <c r="BM281" s="73">
        <f t="shared" si="330"/>
        <v>-1.7904985707188289E-2</v>
      </c>
      <c r="BN281" s="73">
        <f t="shared" si="330"/>
        <v>-0.90311272110153118</v>
      </c>
      <c r="BO281" s="73">
        <f t="shared" si="330"/>
        <v>-0.64776918905026781</v>
      </c>
      <c r="BP281" s="73">
        <f t="shared" si="330"/>
        <v>-0.91750564444176452</v>
      </c>
      <c r="BQ281" s="73">
        <f t="shared" si="330"/>
        <v>2.681624119421965</v>
      </c>
      <c r="BR281" s="73">
        <f t="shared" si="330"/>
        <v>2.8451045562621888</v>
      </c>
      <c r="BS281" s="73">
        <f t="shared" si="330"/>
        <v>1.5563407275735621</v>
      </c>
      <c r="BT281" s="73">
        <f t="shared" si="330"/>
        <v>2.2645104812063468</v>
      </c>
      <c r="BU281" s="73">
        <f t="shared" si="330"/>
        <v>-3.7082101738965974</v>
      </c>
      <c r="BV281" s="73">
        <f t="shared" si="330"/>
        <v>4.1205797458934148</v>
      </c>
      <c r="BW281" s="73">
        <f t="shared" si="330"/>
        <v>5.9793806459426211</v>
      </c>
      <c r="BX281" s="73">
        <f t="shared" si="330"/>
        <v>6.5349315912306274</v>
      </c>
      <c r="BY281" s="73">
        <f t="shared" si="330"/>
        <v>1.634449901486724</v>
      </c>
      <c r="BZ281" s="73">
        <f t="shared" si="330"/>
        <v>4.8344209417236597</v>
      </c>
      <c r="CA281" s="73">
        <f t="shared" si="330"/>
        <v>1.3430396038404593</v>
      </c>
      <c r="CB281" s="73">
        <f t="shared" si="330"/>
        <v>6.4196350596001537</v>
      </c>
      <c r="CC281" s="73">
        <f t="shared" si="330"/>
        <v>7.7829415479522357</v>
      </c>
      <c r="CD281" s="73">
        <f>IFERROR((SUM(BF238:BQ238)+SUM(BF240:BQ240))/SUM(BF279:BQ279),0)</f>
        <v>-1.4110782897320575</v>
      </c>
      <c r="CE281" s="73">
        <f>IFERROR((SUM(BR238:CC238)+SUM(BR240:CC240))/SUM(BR279:CC279),0)</f>
        <v>3.4340044091069446</v>
      </c>
      <c r="CF281" s="2"/>
      <c r="CG281" s="73">
        <f t="shared" ref="CG281:DD281" si="331">IFERROR((CG238+CG240)/CG279,0)</f>
        <v>3.1803598521068404</v>
      </c>
      <c r="CH281" s="73">
        <f t="shared" si="331"/>
        <v>4.0252506066403431</v>
      </c>
      <c r="CI281" s="73">
        <f t="shared" si="331"/>
        <v>1.4971790077304494</v>
      </c>
      <c r="CJ281" s="73">
        <f t="shared" si="331"/>
        <v>-0.2571650166244443</v>
      </c>
      <c r="CK281" s="73">
        <f t="shared" si="331"/>
        <v>7.2241707549755567</v>
      </c>
      <c r="CL281" s="73">
        <f t="shared" si="331"/>
        <v>9.594378533465056</v>
      </c>
      <c r="CM281" s="73">
        <f t="shared" si="331"/>
        <v>9.4797153097702083</v>
      </c>
      <c r="CN281" s="73">
        <f t="shared" si="331"/>
        <v>2.3186692818476584</v>
      </c>
      <c r="CO281" s="73">
        <f t="shared" si="331"/>
        <v>7.8206817750144317</v>
      </c>
      <c r="CP281" s="73">
        <f t="shared" si="331"/>
        <v>2.4359938020716791</v>
      </c>
      <c r="CQ281" s="73">
        <f t="shared" si="331"/>
        <v>8.3156604915256409</v>
      </c>
      <c r="CR281" s="73">
        <f t="shared" si="331"/>
        <v>11.880428771523839</v>
      </c>
      <c r="CS281" s="73">
        <f t="shared" si="331"/>
        <v>12.083947207237431</v>
      </c>
      <c r="CT281" s="73">
        <f t="shared" si="331"/>
        <v>11.277084774886777</v>
      </c>
      <c r="CU281" s="73">
        <f t="shared" si="331"/>
        <v>12.295351217726505</v>
      </c>
      <c r="CV281" s="73">
        <f t="shared" si="331"/>
        <v>-0.99613508864367994</v>
      </c>
      <c r="CW281" s="73">
        <f t="shared" si="331"/>
        <v>14.744118205599156</v>
      </c>
      <c r="CX281" s="73">
        <f t="shared" si="331"/>
        <v>16.506555927132748</v>
      </c>
      <c r="CY281" s="73">
        <f t="shared" si="331"/>
        <v>16.968863994105007</v>
      </c>
      <c r="CZ281" s="73">
        <f t="shared" si="331"/>
        <v>4.3616618355765331</v>
      </c>
      <c r="DA281" s="73">
        <f t="shared" si="331"/>
        <v>15.798534805115235</v>
      </c>
      <c r="DB281" s="73">
        <f t="shared" si="331"/>
        <v>4.5596981030241022</v>
      </c>
      <c r="DC281" s="73">
        <f t="shared" si="331"/>
        <v>17.73445695238491</v>
      </c>
      <c r="DD281" s="73">
        <f t="shared" si="331"/>
        <v>18.952211888495754</v>
      </c>
      <c r="DE281" s="73">
        <f>IFERROR((SUM(CG238:CR238)+SUM(CG240:CR240))/SUM(CG279:CR279),0)</f>
        <v>5.5858804949749761</v>
      </c>
      <c r="DF281" s="73">
        <f>IFERROR((SUM(CS238:DD238)+SUM(CS240:DD240))/SUM(CS279:DD279),0)</f>
        <v>11.989207833350076</v>
      </c>
      <c r="DG281"/>
      <c r="DH281"/>
    </row>
    <row r="282" spans="1:112" hidden="1" x14ac:dyDescent="0.2">
      <c r="A282" s="1"/>
      <c r="B282" s="35" t="s">
        <v>403</v>
      </c>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2"/>
      <c r="AE282" s="73">
        <f>IFERROR(AE261/(AE211*12),0)</f>
        <v>0.89798953201970377</v>
      </c>
      <c r="AF282" s="73">
        <f>IFERROR(AF261/(SUM(AE211:AF211)*12/2),0)</f>
        <v>0.74916446324695884</v>
      </c>
      <c r="AG282" s="73">
        <f>IFERROR(AG261/(SUM(AE211:AG211)*12/3),0)</f>
        <v>0.62969637296208059</v>
      </c>
      <c r="AH282" s="73">
        <f>IFERROR(AH261/(SUM(AE211:AH211)*12/4),0)</f>
        <v>0.53942066510235431</v>
      </c>
      <c r="AI282" s="73">
        <f>IFERROR(AI261/(SUM(AE211:AI211)*12/5),0)</f>
        <v>0.46968633639748641</v>
      </c>
      <c r="AJ282" s="73">
        <f>IFERROR(AJ261/(SUM(AE211:AJ211)*12/6),0)</f>
        <v>0.42899649941656925</v>
      </c>
      <c r="AK282" s="73">
        <f>IFERROR(AK261/(SUM(AE211:AK211)*12/7),0)</f>
        <v>0.40194714782641733</v>
      </c>
      <c r="AL282" s="73">
        <f>IFERROR(AL261/(SUM(AE211:AL211)*12/8),0)</f>
        <v>0.37885063443225808</v>
      </c>
      <c r="AM282" s="73">
        <f>IFERROR(AM261/(SUM(AE211:AM211)*12/9),0)</f>
        <v>0.3516111388923614</v>
      </c>
      <c r="AN282" s="73">
        <f>IFERROR(AN261/(SUM(AE211:AN211)*12/10),0)</f>
        <v>0.32352519575461824</v>
      </c>
      <c r="AO282" s="73">
        <f>IFERROR(AO261/(SUM(AE211:AO211)*12/11),0)</f>
        <v>0.29700558835879537</v>
      </c>
      <c r="AP282" s="73">
        <f>IFERROR(AP261/(SUM(AE211:AP211)*12/12),0)</f>
        <v>0.27430875576036851</v>
      </c>
      <c r="AQ282" s="73">
        <f t="shared" ref="AQ282:BB282" si="332">IFERROR(AQ261/SUM(AF211:AQ211),0)</f>
        <v>0.24310465101530876</v>
      </c>
      <c r="AR282" s="73">
        <f t="shared" si="332"/>
        <v>0.2164608373279179</v>
      </c>
      <c r="AS282" s="73">
        <f t="shared" si="332"/>
        <v>0.19369887879223888</v>
      </c>
      <c r="AT282" s="73">
        <f t="shared" si="332"/>
        <v>0.17361666666666659</v>
      </c>
      <c r="AU282" s="73">
        <f t="shared" si="332"/>
        <v>0.15608513071251126</v>
      </c>
      <c r="AV282" s="73">
        <f t="shared" si="332"/>
        <v>0.14006816377982159</v>
      </c>
      <c r="AW282" s="73">
        <f t="shared" si="332"/>
        <v>0.12565678605005937</v>
      </c>
      <c r="AX282" s="73">
        <f t="shared" si="332"/>
        <v>0.11255645127252771</v>
      </c>
      <c r="AY282" s="73">
        <f t="shared" si="332"/>
        <v>0.10098474811774966</v>
      </c>
      <c r="AZ282" s="73">
        <f t="shared" si="332"/>
        <v>9.0600175494451707E-2</v>
      </c>
      <c r="BA282" s="73">
        <f t="shared" si="332"/>
        <v>8.123341081202666E-2</v>
      </c>
      <c r="BB282" s="73">
        <f t="shared" si="332"/>
        <v>7.269872423945041E-2</v>
      </c>
      <c r="BC282" s="73">
        <f>IFERROR(AP261/SUM(AE211:AP211),0)</f>
        <v>0.27430875576036856</v>
      </c>
      <c r="BD282" s="73">
        <f>IFERROR(BB261/SUM(AQ211:BB211),0)</f>
        <v>7.269872423945041E-2</v>
      </c>
      <c r="BE282" s="2"/>
      <c r="BF282" s="73">
        <f>IFERROR(BF261/(BF211*12),0)</f>
        <v>-1.3039563480620624</v>
      </c>
      <c r="BG282" s="73">
        <f>IFERROR(BG261/(SUM(BF211:BG211)*12/2),0)</f>
        <v>-1.5754431618513822</v>
      </c>
      <c r="BH282" s="73">
        <f>IFERROR(BH261/(SUM(BF211:BH211)*12/3),0)</f>
        <v>-2.0868205242225861</v>
      </c>
      <c r="BI282" s="73">
        <f>IFERROR(BI261/(SUM(BF211:BI211)*12/4),0)</f>
        <v>-3.1573775111385807</v>
      </c>
      <c r="BJ282" s="73">
        <f>IFERROR(BJ261/(SUM(BF211:BJ211)*12/5),0)</f>
        <v>-6.659968929511864</v>
      </c>
      <c r="BK282" s="73">
        <f>IFERROR(BK261/(SUM(BF211:BK211)*12/6),0)</f>
        <v>-21.170104664160231</v>
      </c>
      <c r="BL282" s="73">
        <f>IFERROR(BL261/(SUM(BF211:BL211)*12/7),0)</f>
        <v>68.586099387392935</v>
      </c>
      <c r="BM282" s="73">
        <f>IFERROR(BM261/(SUM(BF211:BM211)*12/8),0)</f>
        <v>14.831263203977056</v>
      </c>
      <c r="BN282" s="73">
        <f>IFERROR(BN261/(SUM(BF211:BN211)*12/9),0)</f>
        <v>6.323962438974573</v>
      </c>
      <c r="BO282" s="73">
        <f>IFERROR(BO261/(SUM(BF211:BO211)*12/10),0)</f>
        <v>3.6028782452634363</v>
      </c>
      <c r="BP282" s="73">
        <f>IFERROR(BP261/(SUM(BF211:BP211)*12/11),0)</f>
        <v>2.4142845735092995</v>
      </c>
      <c r="BQ282" s="73">
        <f>IFERROR(BQ261/(SUM(BF211:BQ211)*12/12),0)</f>
        <v>1.8327619812127323</v>
      </c>
      <c r="BR282" s="73">
        <f t="shared" ref="BR282:CC282" si="333">IFERROR(BR261/SUM(BG211:BR211),0)</f>
        <v>1.2132513805829204</v>
      </c>
      <c r="BS282" s="73">
        <f t="shared" si="333"/>
        <v>0.88912857029582737</v>
      </c>
      <c r="BT282" s="73">
        <f t="shared" si="333"/>
        <v>0.69247253410898602</v>
      </c>
      <c r="BU282" s="73">
        <f t="shared" si="333"/>
        <v>0.55696574770258978</v>
      </c>
      <c r="BV282" s="73">
        <f t="shared" si="333"/>
        <v>0.46015710073040306</v>
      </c>
      <c r="BW282" s="73">
        <f t="shared" si="333"/>
        <v>0.38401744905492291</v>
      </c>
      <c r="BX282" s="73">
        <f t="shared" si="333"/>
        <v>0.32408471226166974</v>
      </c>
      <c r="BY282" s="73">
        <f t="shared" si="333"/>
        <v>0.27536067648605378</v>
      </c>
      <c r="BZ282" s="73">
        <f t="shared" si="333"/>
        <v>0.23673420536280898</v>
      </c>
      <c r="CA282" s="73">
        <f t="shared" si="333"/>
        <v>0.20501220705066175</v>
      </c>
      <c r="CB282" s="73">
        <f t="shared" si="333"/>
        <v>0.17852945259739916</v>
      </c>
      <c r="CC282" s="73">
        <f t="shared" si="333"/>
        <v>0.15594144944948304</v>
      </c>
      <c r="CD282" s="73">
        <f>IFERROR(BQ261/SUM(BF211:BQ211),0)</f>
        <v>1.8327619812127325</v>
      </c>
      <c r="CE282" s="73">
        <f>IFERROR(CC261/SUM(BR211:CC211),0)</f>
        <v>0.15594144944948304</v>
      </c>
      <c r="CF282" s="2"/>
      <c r="CG282" s="73">
        <f>IFERROR(CG261/(CG211*12),0)</f>
        <v>0.448384311752903</v>
      </c>
      <c r="CH282" s="73">
        <f>IFERROR(CH261/(SUM(CG211:CH211)*12/2),0)</f>
        <v>0.39904533557474225</v>
      </c>
      <c r="CI282" s="73">
        <f>IFERROR(CI261/(SUM(CG211:CI211)*12/3),0)</f>
        <v>0.35471634816952075</v>
      </c>
      <c r="CJ282" s="73">
        <f>IFERROR(CJ261/(SUM(CG211:CJ211)*12/4),0)</f>
        <v>0.31763581793498169</v>
      </c>
      <c r="CK282" s="73">
        <f>IFERROR(CK261/(SUM(CG211:CK211)*12/5),0)</f>
        <v>0.28652643699305214</v>
      </c>
      <c r="CL282" s="73">
        <f>IFERROR(CL261/(SUM(CG211:CL211)*12/6),0)</f>
        <v>0.26650696844053984</v>
      </c>
      <c r="CM282" s="73">
        <f>IFERROR(CM261/(SUM(CG211:CM211)*12/7),0)</f>
        <v>0.25210611538416</v>
      </c>
      <c r="CN282" s="73">
        <f>IFERROR(CN261/(SUM(CG211:CN211)*12/8),0)</f>
        <v>0.23935442581808444</v>
      </c>
      <c r="CO282" s="73">
        <f>IFERROR(CO261/(SUM(CG211:CO211)*12/9),0)</f>
        <v>0.22465139959217426</v>
      </c>
      <c r="CP282" s="73">
        <f>IFERROR(CP261/(SUM(CG211:CP211)*12/10),0)</f>
        <v>0.20939595150637549</v>
      </c>
      <c r="CQ282" s="73">
        <f>IFERROR(CQ261/(SUM(CG211:CQ211)*12/11),0)</f>
        <v>0.19469257082672695</v>
      </c>
      <c r="CR282" s="73">
        <f>IFERROR(CR261/(SUM(CG211:CR211)*12/12),0)</f>
        <v>0.18167955318188289</v>
      </c>
      <c r="CS282" s="73">
        <f t="shared" ref="CS282:DD282" si="334">IFERROR(CS261/SUM(CH211:CS211),0)</f>
        <v>0.16425523438603473</v>
      </c>
      <c r="CT282" s="73">
        <f t="shared" si="334"/>
        <v>0.14879924822689647</v>
      </c>
      <c r="CU282" s="73">
        <f t="shared" si="334"/>
        <v>0.1351329208967918</v>
      </c>
      <c r="CV282" s="73">
        <f t="shared" si="334"/>
        <v>0.12273343151693665</v>
      </c>
      <c r="CW282" s="73">
        <f t="shared" si="334"/>
        <v>0.11161462622412426</v>
      </c>
      <c r="CX282" s="73">
        <f t="shared" si="334"/>
        <v>0.10124840362965058</v>
      </c>
      <c r="CY282" s="73">
        <f t="shared" si="334"/>
        <v>9.1727070666768842E-2</v>
      </c>
      <c r="CZ282" s="73">
        <f t="shared" si="334"/>
        <v>8.2912433861726503E-2</v>
      </c>
      <c r="DA282" s="73">
        <f t="shared" si="334"/>
        <v>7.4966777783998684E-2</v>
      </c>
      <c r="DB282" s="73">
        <f t="shared" si="334"/>
        <v>6.7711461587595542E-2</v>
      </c>
      <c r="DC282" s="73">
        <f t="shared" si="334"/>
        <v>6.1062344224544152E-2</v>
      </c>
      <c r="DD282" s="73">
        <f t="shared" si="334"/>
        <v>5.4918349262316132E-2</v>
      </c>
      <c r="DE282" s="73">
        <f>IFERROR(CR261/SUM(CG211:CR211),0)</f>
        <v>0.18167955318188289</v>
      </c>
      <c r="DF282" s="73">
        <f>IFERROR(DD261/SUM(CS211:DD211),0)</f>
        <v>5.4918349262316132E-2</v>
      </c>
      <c r="DG282"/>
      <c r="DH282"/>
    </row>
    <row r="283" spans="1:112" hidden="1" x14ac:dyDescent="0.2">
      <c r="A283" s="1"/>
      <c r="B283" s="1" t="s">
        <v>404</v>
      </c>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2"/>
      <c r="AE283" s="2">
        <f t="shared" ref="AE283:BB283" si="335">ROUND(AE235-(AE234+AE218-AE233),2)</f>
        <v>0</v>
      </c>
      <c r="AF283" s="2">
        <f t="shared" si="335"/>
        <v>0</v>
      </c>
      <c r="AG283" s="2">
        <f t="shared" si="335"/>
        <v>0</v>
      </c>
      <c r="AH283" s="2">
        <f t="shared" si="335"/>
        <v>0</v>
      </c>
      <c r="AI283" s="2">
        <f t="shared" si="335"/>
        <v>0</v>
      </c>
      <c r="AJ283" s="2">
        <f t="shared" si="335"/>
        <v>0</v>
      </c>
      <c r="AK283" s="2">
        <f t="shared" si="335"/>
        <v>0</v>
      </c>
      <c r="AL283" s="2">
        <f t="shared" si="335"/>
        <v>0</v>
      </c>
      <c r="AM283" s="2">
        <f t="shared" si="335"/>
        <v>0</v>
      </c>
      <c r="AN283" s="2">
        <f t="shared" si="335"/>
        <v>0</v>
      </c>
      <c r="AO283" s="2">
        <f t="shared" si="335"/>
        <v>0</v>
      </c>
      <c r="AP283" s="2">
        <f t="shared" si="335"/>
        <v>0</v>
      </c>
      <c r="AQ283" s="2">
        <f t="shared" si="335"/>
        <v>0</v>
      </c>
      <c r="AR283" s="2">
        <f t="shared" si="335"/>
        <v>0</v>
      </c>
      <c r="AS283" s="2">
        <f t="shared" si="335"/>
        <v>0</v>
      </c>
      <c r="AT283" s="2">
        <f t="shared" si="335"/>
        <v>0</v>
      </c>
      <c r="AU283" s="2">
        <f t="shared" si="335"/>
        <v>0</v>
      </c>
      <c r="AV283" s="2">
        <f t="shared" si="335"/>
        <v>0</v>
      </c>
      <c r="AW283" s="2">
        <f t="shared" si="335"/>
        <v>0</v>
      </c>
      <c r="AX283" s="2">
        <f t="shared" si="335"/>
        <v>0</v>
      </c>
      <c r="AY283" s="2">
        <f t="shared" si="335"/>
        <v>0</v>
      </c>
      <c r="AZ283" s="2">
        <f t="shared" si="335"/>
        <v>0</v>
      </c>
      <c r="BA283" s="2">
        <f t="shared" si="335"/>
        <v>0</v>
      </c>
      <c r="BB283" s="2">
        <f t="shared" si="335"/>
        <v>0</v>
      </c>
      <c r="BC283" s="2"/>
      <c r="BD283" s="2"/>
      <c r="BE283" s="2"/>
      <c r="BF283" s="2">
        <f t="shared" ref="BF283:CC283" si="336">ROUND(BF235-(BF234+BF218-BF233),2)</f>
        <v>0</v>
      </c>
      <c r="BG283" s="2">
        <f t="shared" si="336"/>
        <v>0</v>
      </c>
      <c r="BH283" s="2">
        <f t="shared" si="336"/>
        <v>0</v>
      </c>
      <c r="BI283" s="2">
        <f t="shared" si="336"/>
        <v>0</v>
      </c>
      <c r="BJ283" s="2">
        <f t="shared" si="336"/>
        <v>0</v>
      </c>
      <c r="BK283" s="2">
        <f t="shared" si="336"/>
        <v>0</v>
      </c>
      <c r="BL283" s="2">
        <f t="shared" si="336"/>
        <v>0</v>
      </c>
      <c r="BM283" s="2">
        <f t="shared" si="336"/>
        <v>0</v>
      </c>
      <c r="BN283" s="2">
        <f t="shared" si="336"/>
        <v>0</v>
      </c>
      <c r="BO283" s="2">
        <f t="shared" si="336"/>
        <v>0</v>
      </c>
      <c r="BP283" s="2">
        <f t="shared" si="336"/>
        <v>0</v>
      </c>
      <c r="BQ283" s="2">
        <f t="shared" si="336"/>
        <v>0</v>
      </c>
      <c r="BR283" s="2">
        <f t="shared" si="336"/>
        <v>0</v>
      </c>
      <c r="BS283" s="2">
        <f t="shared" si="336"/>
        <v>0</v>
      </c>
      <c r="BT283" s="2">
        <f t="shared" si="336"/>
        <v>0</v>
      </c>
      <c r="BU283" s="2">
        <f t="shared" si="336"/>
        <v>0</v>
      </c>
      <c r="BV283" s="2">
        <f t="shared" si="336"/>
        <v>0</v>
      </c>
      <c r="BW283" s="2">
        <f t="shared" si="336"/>
        <v>0</v>
      </c>
      <c r="BX283" s="2">
        <f t="shared" si="336"/>
        <v>0</v>
      </c>
      <c r="BY283" s="2">
        <f t="shared" si="336"/>
        <v>0</v>
      </c>
      <c r="BZ283" s="2">
        <f t="shared" si="336"/>
        <v>0</v>
      </c>
      <c r="CA283" s="2">
        <f t="shared" si="336"/>
        <v>0</v>
      </c>
      <c r="CB283" s="2">
        <f t="shared" si="336"/>
        <v>0</v>
      </c>
      <c r="CC283" s="2">
        <f t="shared" si="336"/>
        <v>0</v>
      </c>
      <c r="CD283" s="2"/>
      <c r="CE283" s="2"/>
      <c r="CF283" s="2"/>
      <c r="CG283" s="2">
        <f t="shared" ref="CG283:DD283" si="337">ROUND(CG235-(CG234+CG218-CG233),2)</f>
        <v>0</v>
      </c>
      <c r="CH283" s="2">
        <f t="shared" si="337"/>
        <v>0</v>
      </c>
      <c r="CI283" s="2">
        <f t="shared" si="337"/>
        <v>0</v>
      </c>
      <c r="CJ283" s="2">
        <f t="shared" si="337"/>
        <v>0</v>
      </c>
      <c r="CK283" s="2">
        <f t="shared" si="337"/>
        <v>0</v>
      </c>
      <c r="CL283" s="2">
        <f t="shared" si="337"/>
        <v>0</v>
      </c>
      <c r="CM283" s="2">
        <f t="shared" si="337"/>
        <v>0</v>
      </c>
      <c r="CN283" s="2">
        <f t="shared" si="337"/>
        <v>0</v>
      </c>
      <c r="CO283" s="2">
        <f t="shared" si="337"/>
        <v>0</v>
      </c>
      <c r="CP283" s="2">
        <f t="shared" si="337"/>
        <v>0</v>
      </c>
      <c r="CQ283" s="2">
        <f t="shared" si="337"/>
        <v>0</v>
      </c>
      <c r="CR283" s="2">
        <f t="shared" si="337"/>
        <v>0</v>
      </c>
      <c r="CS283" s="2">
        <f t="shared" si="337"/>
        <v>0</v>
      </c>
      <c r="CT283" s="2">
        <f t="shared" si="337"/>
        <v>0</v>
      </c>
      <c r="CU283" s="2">
        <f t="shared" si="337"/>
        <v>0</v>
      </c>
      <c r="CV283" s="2">
        <f t="shared" si="337"/>
        <v>0</v>
      </c>
      <c r="CW283" s="2">
        <f t="shared" si="337"/>
        <v>0</v>
      </c>
      <c r="CX283" s="2">
        <f t="shared" si="337"/>
        <v>0</v>
      </c>
      <c r="CY283" s="2">
        <f t="shared" si="337"/>
        <v>0</v>
      </c>
      <c r="CZ283" s="2">
        <f t="shared" si="337"/>
        <v>0</v>
      </c>
      <c r="DA283" s="2">
        <f t="shared" si="337"/>
        <v>0</v>
      </c>
      <c r="DB283" s="2">
        <f t="shared" si="337"/>
        <v>0</v>
      </c>
      <c r="DC283" s="2">
        <f t="shared" si="337"/>
        <v>0</v>
      </c>
      <c r="DD283" s="2">
        <f t="shared" si="337"/>
        <v>0</v>
      </c>
      <c r="DE283" s="2"/>
      <c r="DF283" s="2"/>
      <c r="DG283"/>
      <c r="DH283"/>
    </row>
    <row r="284" spans="1:112" hidden="1" x14ac:dyDescent="0.2">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c r="BP284" s="2"/>
      <c r="BQ284" s="2"/>
      <c r="BR284" s="2"/>
      <c r="BS284" s="2"/>
      <c r="BT284" s="2"/>
      <c r="BU284" s="2"/>
      <c r="BV284" s="2"/>
      <c r="BW284" s="2"/>
      <c r="BX284" s="2"/>
      <c r="BY284" s="2"/>
      <c r="BZ284" s="2"/>
      <c r="CA284" s="2"/>
      <c r="CB284" s="2"/>
      <c r="CC284" s="2"/>
      <c r="CD284" s="2"/>
      <c r="CE284" s="2"/>
      <c r="CF284" s="2"/>
      <c r="CG284" s="2"/>
      <c r="CH284" s="2"/>
      <c r="CI284" s="2"/>
      <c r="CJ284" s="2"/>
      <c r="CK284" s="2"/>
      <c r="CL284" s="2"/>
      <c r="CM284" s="2"/>
      <c r="CN284" s="2"/>
      <c r="CO284" s="2"/>
      <c r="CP284" s="2"/>
      <c r="CQ284" s="2"/>
      <c r="CR284" s="2"/>
      <c r="CS284" s="2"/>
      <c r="CT284" s="2"/>
      <c r="CU284" s="2"/>
      <c r="CV284" s="2"/>
      <c r="CW284" s="2"/>
      <c r="CX284" s="2"/>
      <c r="CY284" s="2"/>
      <c r="CZ284" s="2"/>
      <c r="DA284" s="2"/>
      <c r="DB284" s="2"/>
      <c r="DC284" s="2"/>
      <c r="DD284" s="2"/>
      <c r="DE284" s="2"/>
      <c r="DF284" s="2"/>
      <c r="DG284"/>
      <c r="DH284"/>
    </row>
    <row r="285" spans="1:112" hidden="1" x14ac:dyDescent="0.2">
      <c r="A285" s="1"/>
      <c r="B285" s="1"/>
      <c r="C285" s="86" t="s">
        <v>2</v>
      </c>
      <c r="D285" s="86" t="s">
        <v>203</v>
      </c>
      <c r="E285" s="86" t="s">
        <v>204</v>
      </c>
      <c r="F285" s="1"/>
      <c r="G285" s="1"/>
      <c r="H285" s="1"/>
      <c r="I285" s="1"/>
      <c r="J285" s="1"/>
      <c r="K285" s="1"/>
      <c r="L285" s="1"/>
      <c r="M285" s="1"/>
      <c r="N285" s="1"/>
      <c r="O285" s="1"/>
      <c r="P285" s="1"/>
      <c r="Q285" s="1"/>
      <c r="R285" s="1"/>
      <c r="S285" s="1"/>
      <c r="T285" s="1"/>
      <c r="U285" s="1"/>
      <c r="V285" s="1"/>
      <c r="W285" s="1"/>
      <c r="X285" s="1"/>
      <c r="Y285" s="1"/>
      <c r="Z285" s="1"/>
      <c r="AA285" s="1"/>
      <c r="AB285" s="1"/>
      <c r="AC285" s="1"/>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c r="BP285" s="2"/>
      <c r="BQ285" s="2"/>
      <c r="BR285" s="2"/>
      <c r="BS285" s="2"/>
      <c r="BT285" s="2"/>
      <c r="BU285" s="2"/>
      <c r="BV285" s="2"/>
      <c r="BW285" s="2"/>
      <c r="BX285" s="2"/>
      <c r="BY285" s="2"/>
      <c r="BZ285" s="2"/>
      <c r="CA285" s="2"/>
      <c r="CB285" s="2"/>
      <c r="CC285" s="2"/>
      <c r="CD285" s="2"/>
      <c r="CE285" s="2"/>
      <c r="CF285" s="2"/>
      <c r="CG285" s="2"/>
      <c r="CH285" s="2"/>
      <c r="CI285" s="2"/>
      <c r="CJ285" s="2"/>
      <c r="CK285" s="2"/>
      <c r="CL285" s="2"/>
      <c r="CM285" s="2"/>
      <c r="CN285" s="2"/>
      <c r="CO285" s="2"/>
      <c r="CP285" s="2"/>
      <c r="CQ285" s="2"/>
      <c r="CR285" s="2"/>
      <c r="CS285" s="2"/>
      <c r="CT285" s="2"/>
      <c r="CU285" s="2"/>
      <c r="CV285" s="2"/>
      <c r="CW285" s="2"/>
      <c r="CX285" s="2"/>
      <c r="CY285" s="2"/>
      <c r="CZ285" s="2"/>
      <c r="DA285" s="2"/>
      <c r="DB285" s="2"/>
      <c r="DC285" s="2"/>
      <c r="DD285" s="2"/>
      <c r="DE285" s="2"/>
      <c r="DF285" s="2"/>
      <c r="DG285"/>
      <c r="DH285"/>
    </row>
    <row r="286" spans="1:112" hidden="1" x14ac:dyDescent="0.2">
      <c r="A286" s="1"/>
      <c r="B286" s="90" t="s">
        <v>205</v>
      </c>
      <c r="C286" s="91">
        <f>SUM(AE211:AP211)</f>
        <v>729120.00000000023</v>
      </c>
      <c r="D286" s="91">
        <f>SUM(BF211:BQ211)</f>
        <v>109127.1</v>
      </c>
      <c r="E286" s="91">
        <f>SUM(CG211:CR211)</f>
        <v>1100861.3600000003</v>
      </c>
      <c r="F286" s="1"/>
      <c r="G286" s="1"/>
      <c r="H286" s="1"/>
      <c r="I286" s="1"/>
      <c r="J286" s="1"/>
      <c r="K286" s="1"/>
      <c r="L286" s="1"/>
      <c r="M286" s="1"/>
      <c r="N286" s="1"/>
      <c r="O286" s="1"/>
      <c r="P286" s="1"/>
      <c r="Q286" s="1"/>
      <c r="R286" s="1"/>
      <c r="S286" s="1"/>
      <c r="T286" s="1"/>
      <c r="U286" s="1"/>
      <c r="V286" s="1"/>
      <c r="W286" s="1"/>
      <c r="X286" s="1"/>
      <c r="Y286" s="1"/>
      <c r="Z286" s="1"/>
      <c r="AA286" s="1"/>
      <c r="AB286" s="1"/>
      <c r="AC286" s="1"/>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c r="BP286" s="2"/>
      <c r="BQ286" s="2"/>
      <c r="BR286" s="2"/>
      <c r="BS286" s="2"/>
      <c r="BT286" s="2"/>
      <c r="BU286" s="2"/>
      <c r="BV286" s="2"/>
      <c r="BW286" s="2"/>
      <c r="BX286" s="2"/>
      <c r="BY286" s="2"/>
      <c r="BZ286" s="2"/>
      <c r="CA286" s="2"/>
      <c r="CB286" s="2"/>
      <c r="CC286" s="2"/>
      <c r="CD286" s="2"/>
      <c r="CE286" s="2"/>
      <c r="CF286" s="2"/>
      <c r="CG286" s="2"/>
      <c r="CH286" s="2"/>
      <c r="CI286" s="2"/>
      <c r="CJ286" s="2"/>
      <c r="CK286" s="2"/>
      <c r="CL286" s="2"/>
      <c r="CM286" s="2"/>
      <c r="CN286" s="2"/>
      <c r="CO286" s="2"/>
      <c r="CP286" s="2"/>
      <c r="CQ286" s="2"/>
      <c r="CR286" s="2"/>
      <c r="CS286" s="2"/>
      <c r="CT286" s="2"/>
      <c r="CU286" s="2"/>
      <c r="CV286" s="2"/>
      <c r="CW286" s="2"/>
      <c r="CX286" s="2"/>
      <c r="CY286" s="2"/>
      <c r="CZ286" s="2"/>
      <c r="DA286" s="2"/>
      <c r="DB286" s="2"/>
      <c r="DC286" s="2"/>
      <c r="DD286" s="2"/>
      <c r="DE286" s="2"/>
      <c r="DF286" s="2"/>
      <c r="DG286"/>
      <c r="DH286"/>
    </row>
    <row r="287" spans="1:112" hidden="1" x14ac:dyDescent="0.2">
      <c r="A287" s="1"/>
      <c r="B287" s="90" t="s">
        <v>206</v>
      </c>
      <c r="C287" s="91">
        <f>AP249</f>
        <v>654430.48796875007</v>
      </c>
      <c r="D287" s="91">
        <f>BQ249</f>
        <v>122416.42489583341</v>
      </c>
      <c r="E287" s="91">
        <f>CR249</f>
        <v>973248.86963541678</v>
      </c>
      <c r="F287" s="1"/>
      <c r="G287" s="1"/>
      <c r="H287" s="1"/>
      <c r="I287" s="1"/>
      <c r="J287" s="1"/>
      <c r="K287" s="1"/>
      <c r="L287" s="1"/>
      <c r="M287" s="1"/>
      <c r="N287" s="1"/>
      <c r="O287" s="1"/>
      <c r="P287" s="1"/>
      <c r="Q287" s="1"/>
      <c r="R287" s="1"/>
      <c r="S287" s="1"/>
      <c r="T287" s="1"/>
      <c r="U287" s="1"/>
      <c r="V287" s="1"/>
      <c r="W287" s="1"/>
      <c r="X287" s="1"/>
      <c r="Y287" s="1"/>
      <c r="Z287" s="1"/>
      <c r="AA287" s="1"/>
      <c r="AB287" s="1"/>
      <c r="AC287" s="1"/>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c r="BP287" s="2"/>
      <c r="BQ287" s="2"/>
      <c r="BR287" s="2"/>
      <c r="BS287" s="2"/>
      <c r="BT287" s="2"/>
      <c r="BU287" s="2"/>
      <c r="BV287" s="2"/>
      <c r="BW287" s="2"/>
      <c r="BX287" s="2"/>
      <c r="BY287" s="2"/>
      <c r="BZ287" s="2"/>
      <c r="CA287" s="2"/>
      <c r="CB287" s="2"/>
      <c r="CC287" s="2"/>
      <c r="CD287" s="2"/>
      <c r="CE287" s="2"/>
      <c r="CF287" s="2"/>
      <c r="CG287" s="2"/>
      <c r="CH287" s="2"/>
      <c r="CI287" s="2"/>
      <c r="CJ287" s="2"/>
      <c r="CK287" s="2"/>
      <c r="CL287" s="2"/>
      <c r="CM287" s="2"/>
      <c r="CN287" s="2"/>
      <c r="CO287" s="2"/>
      <c r="CP287" s="2"/>
      <c r="CQ287" s="2"/>
      <c r="CR287" s="2"/>
      <c r="CS287" s="2"/>
      <c r="CT287" s="2"/>
      <c r="CU287" s="2"/>
      <c r="CV287" s="2"/>
      <c r="CW287" s="2"/>
      <c r="CX287" s="2"/>
      <c r="CY287" s="2"/>
      <c r="CZ287" s="2"/>
      <c r="DA287" s="2"/>
      <c r="DB287" s="2"/>
      <c r="DC287" s="2"/>
      <c r="DD287" s="2"/>
      <c r="DE287" s="2"/>
      <c r="DF287" s="2"/>
      <c r="DG287"/>
      <c r="DH287"/>
    </row>
    <row r="288" spans="1:112" hidden="1" x14ac:dyDescent="0.2">
      <c r="A288" s="1"/>
      <c r="B288" s="90" t="s">
        <v>207</v>
      </c>
      <c r="C288" s="91">
        <f>AP269</f>
        <v>1180636.7581250002</v>
      </c>
      <c r="D288" s="91">
        <f>BQ269</f>
        <v>703567.39624999987</v>
      </c>
      <c r="E288" s="91">
        <f>CR269</f>
        <v>1459442.7781250002</v>
      </c>
      <c r="F288" s="1"/>
      <c r="G288" s="1"/>
      <c r="H288" s="1"/>
      <c r="I288" s="1"/>
      <c r="J288" s="1"/>
      <c r="K288" s="1"/>
      <c r="L288" s="1"/>
      <c r="M288" s="1"/>
      <c r="N288" s="1"/>
      <c r="O288" s="1"/>
      <c r="P288" s="1"/>
      <c r="Q288" s="1"/>
      <c r="R288" s="1"/>
      <c r="S288" s="1"/>
      <c r="T288" s="1"/>
      <c r="U288" s="1"/>
      <c r="V288" s="1"/>
      <c r="W288" s="1"/>
      <c r="X288" s="1"/>
      <c r="Y288" s="1"/>
      <c r="Z288" s="1"/>
      <c r="AA288" s="1"/>
      <c r="AB288" s="1"/>
      <c r="AC288" s="1"/>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c r="BU288" s="2"/>
      <c r="BV288" s="2"/>
      <c r="BW288" s="2"/>
      <c r="BX288" s="2"/>
      <c r="BY288" s="2"/>
      <c r="BZ288" s="2"/>
      <c r="CA288" s="2"/>
      <c r="CB288" s="2"/>
      <c r="CC288" s="2"/>
      <c r="CD288" s="2"/>
      <c r="CE288" s="2"/>
      <c r="CF288" s="2"/>
      <c r="CG288" s="2"/>
      <c r="CH288" s="2"/>
      <c r="CI288" s="2"/>
      <c r="CJ288" s="2"/>
      <c r="CK288" s="2"/>
      <c r="CL288" s="2"/>
      <c r="CM288" s="2"/>
      <c r="CN288" s="2"/>
      <c r="CO288" s="2"/>
      <c r="CP288" s="2"/>
      <c r="CQ288" s="2"/>
      <c r="CR288" s="2"/>
      <c r="CS288" s="2"/>
      <c r="CT288" s="2"/>
      <c r="CU288" s="2"/>
      <c r="CV288" s="2"/>
      <c r="CW288" s="2"/>
      <c r="CX288" s="2"/>
      <c r="CY288" s="2"/>
      <c r="CZ288" s="2"/>
      <c r="DA288" s="2"/>
      <c r="DB288" s="2"/>
      <c r="DC288" s="2"/>
      <c r="DD288" s="2"/>
      <c r="DE288" s="2"/>
      <c r="DF288" s="2"/>
      <c r="DG288"/>
      <c r="DH288"/>
    </row>
    <row r="289" spans="1:112" x14ac:dyDescent="0.2">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c r="BU289" s="2"/>
      <c r="BV289" s="2"/>
      <c r="BW289" s="2"/>
      <c r="BX289" s="2"/>
      <c r="BY289" s="2"/>
      <c r="BZ289" s="2"/>
      <c r="CA289" s="2"/>
      <c r="CB289" s="2"/>
      <c r="CC289" s="2"/>
      <c r="CD289" s="2"/>
      <c r="CE289" s="2"/>
      <c r="CF289" s="2"/>
      <c r="CG289" s="2"/>
      <c r="CH289" s="2"/>
      <c r="CI289" s="2"/>
      <c r="CJ289" s="2"/>
      <c r="CK289" s="2"/>
      <c r="CL289" s="2"/>
      <c r="CM289" s="2"/>
      <c r="CN289" s="2"/>
      <c r="CO289" s="2"/>
      <c r="CP289" s="2"/>
      <c r="CQ289" s="2"/>
      <c r="CR289" s="2"/>
      <c r="CS289" s="2"/>
      <c r="CT289" s="2"/>
      <c r="CU289" s="2"/>
      <c r="CV289" s="2"/>
      <c r="CW289" s="2"/>
      <c r="CX289" s="2"/>
      <c r="CY289" s="2"/>
      <c r="CZ289" s="2"/>
      <c r="DA289" s="2"/>
      <c r="DB289" s="2"/>
      <c r="DC289" s="2"/>
      <c r="DD289" s="2"/>
      <c r="DE289" s="2"/>
      <c r="DF289" s="2"/>
      <c r="DG289"/>
      <c r="DH289"/>
    </row>
    <row r="290" spans="1:112" x14ac:dyDescent="0.2">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c r="AB290" s="7"/>
      <c r="AC290" s="7"/>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c r="BP290" s="2"/>
      <c r="BQ290" s="2"/>
      <c r="BR290" s="2"/>
      <c r="BS290" s="2"/>
      <c r="BT290" s="2"/>
      <c r="BU290" s="2"/>
      <c r="BV290" s="2"/>
      <c r="BW290" s="2"/>
      <c r="BX290" s="2"/>
      <c r="BY290" s="2"/>
      <c r="BZ290" s="2"/>
      <c r="CA290" s="2"/>
      <c r="CB290" s="2"/>
      <c r="CC290" s="2"/>
      <c r="CD290" s="2"/>
      <c r="CE290" s="2"/>
      <c r="CF290" s="2"/>
      <c r="CG290" s="2"/>
      <c r="CH290" s="2"/>
      <c r="CI290" s="2"/>
      <c r="CJ290" s="2"/>
      <c r="CK290" s="2"/>
      <c r="CL290" s="2"/>
      <c r="CM290" s="2"/>
      <c r="CN290" s="2"/>
      <c r="CO290" s="2"/>
      <c r="CP290" s="2"/>
      <c r="CQ290" s="2"/>
      <c r="CR290" s="2"/>
      <c r="CS290" s="2"/>
      <c r="CT290" s="2"/>
      <c r="CU290" s="2"/>
      <c r="CV290" s="2"/>
      <c r="CW290" s="2"/>
      <c r="CX290" s="2"/>
      <c r="CY290" s="2"/>
      <c r="CZ290" s="2"/>
      <c r="DA290" s="2"/>
      <c r="DB290" s="2"/>
      <c r="DC290" s="2"/>
      <c r="DD290" s="2"/>
      <c r="DE290" s="2"/>
      <c r="DF290" s="2"/>
    </row>
    <row r="291" spans="1:112" hidden="1" x14ac:dyDescent="0.2">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c r="AB291" s="7"/>
      <c r="AC291" s="7"/>
      <c r="AD291" s="2"/>
      <c r="AE291" s="89">
        <f t="shared" ref="AE291:AP291" si="338">CHOOSE($AE$180,AE248,BF248,CG248)</f>
        <v>536927.20333333337</v>
      </c>
      <c r="AF291" s="89">
        <f t="shared" si="338"/>
        <v>562452.68208333338</v>
      </c>
      <c r="AG291" s="89">
        <f t="shared" si="338"/>
        <v>561600.43691666669</v>
      </c>
      <c r="AH291" s="89">
        <f t="shared" si="338"/>
        <v>542623.54298958334</v>
      </c>
      <c r="AI291" s="89">
        <f t="shared" si="338"/>
        <v>600135.2819895834</v>
      </c>
      <c r="AJ291" s="89">
        <f t="shared" si="338"/>
        <v>681308.73173958343</v>
      </c>
      <c r="AK291" s="89">
        <f t="shared" si="338"/>
        <v>760757.32957291685</v>
      </c>
      <c r="AL291" s="89">
        <f t="shared" si="338"/>
        <v>767714.94997916685</v>
      </c>
      <c r="AM291" s="89">
        <f t="shared" si="338"/>
        <v>829477.68797916675</v>
      </c>
      <c r="AN291" s="89">
        <f t="shared" si="338"/>
        <v>837326.24121875013</v>
      </c>
      <c r="AO291" s="89">
        <f t="shared" si="338"/>
        <v>903050.06538541685</v>
      </c>
      <c r="AP291" s="89">
        <f t="shared" si="338"/>
        <v>973248.86963541678</v>
      </c>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c r="BP291" s="2"/>
      <c r="BQ291" s="2"/>
      <c r="BR291" s="2"/>
      <c r="BS291" s="2"/>
      <c r="BT291" s="2"/>
      <c r="BU291" s="2"/>
      <c r="BV291" s="2"/>
      <c r="BW291" s="2"/>
      <c r="BX291" s="2"/>
      <c r="BY291" s="2"/>
      <c r="BZ291" s="2"/>
      <c r="CA291" s="2"/>
      <c r="CB291" s="2"/>
      <c r="CC291" s="2"/>
      <c r="CD291" s="2"/>
      <c r="CE291" s="2"/>
      <c r="CF291" s="2"/>
      <c r="CG291" s="2"/>
      <c r="CH291" s="2"/>
      <c r="CI291" s="2"/>
      <c r="CJ291" s="2"/>
      <c r="CK291" s="2"/>
      <c r="CL291" s="2"/>
      <c r="CM291" s="2"/>
      <c r="CN291" s="2"/>
      <c r="CO291" s="2"/>
      <c r="CP291" s="2"/>
      <c r="CQ291" s="2"/>
      <c r="CR291" s="2"/>
      <c r="CS291" s="2"/>
      <c r="CT291" s="2"/>
      <c r="CU291" s="2"/>
      <c r="CV291" s="2"/>
      <c r="CW291" s="2"/>
      <c r="CX291" s="2"/>
      <c r="CY291" s="2"/>
      <c r="CZ291" s="2"/>
      <c r="DA291" s="2"/>
      <c r="DB291" s="2"/>
      <c r="DC291" s="2"/>
      <c r="DD291" s="2"/>
      <c r="DE291" s="2"/>
      <c r="DF291" s="2"/>
    </row>
    <row r="292" spans="1:112" hidden="1" x14ac:dyDescent="0.2">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c r="AB292" s="7"/>
      <c r="AC292" s="7"/>
      <c r="AD292" s="2"/>
      <c r="AE292" s="89">
        <f t="shared" ref="AE292:AP292" si="339">CHOOSE($AE$180,AE190,BF190,CG190)</f>
        <v>396000</v>
      </c>
      <c r="AF292" s="89">
        <f t="shared" si="339"/>
        <v>412500</v>
      </c>
      <c r="AG292" s="89">
        <f t="shared" si="339"/>
        <v>431200</v>
      </c>
      <c r="AH292" s="89">
        <f t="shared" si="339"/>
        <v>448800.00000000006</v>
      </c>
      <c r="AI292" s="89">
        <f t="shared" si="339"/>
        <v>465300.00000000006</v>
      </c>
      <c r="AJ292" s="89">
        <f t="shared" si="339"/>
        <v>459800.00000000006</v>
      </c>
      <c r="AK292" s="89">
        <f t="shared" si="339"/>
        <v>453200</v>
      </c>
      <c r="AL292" s="89">
        <f t="shared" si="339"/>
        <v>453200</v>
      </c>
      <c r="AM292" s="89">
        <f t="shared" si="339"/>
        <v>470800.00000000006</v>
      </c>
      <c r="AN292" s="89">
        <f t="shared" si="339"/>
        <v>487300.00000000006</v>
      </c>
      <c r="AO292" s="89">
        <f t="shared" si="339"/>
        <v>499400.00000000006</v>
      </c>
      <c r="AP292" s="89">
        <f t="shared" si="339"/>
        <v>500500.00000000006</v>
      </c>
      <c r="AQ292" s="2"/>
      <c r="AR292" s="2"/>
      <c r="AS292" s="2"/>
      <c r="AT292" s="2"/>
      <c r="AU292" s="2"/>
      <c r="AV292" s="2"/>
      <c r="AW292" s="2"/>
      <c r="AX292" s="2"/>
      <c r="AY292" s="2"/>
      <c r="AZ292" s="2"/>
      <c r="BA292" s="2"/>
      <c r="BB292" s="2"/>
      <c r="BC292" s="2"/>
      <c r="BD292" s="2"/>
      <c r="BE292" s="2"/>
      <c r="BF292" s="2"/>
      <c r="BG292" s="2"/>
      <c r="BH292" s="2"/>
      <c r="BI292" s="2"/>
      <c r="BJ292" s="2"/>
      <c r="BK292" s="2"/>
      <c r="BL292" s="2"/>
      <c r="BM292" s="2"/>
      <c r="BN292" s="2"/>
      <c r="BO292" s="2"/>
      <c r="BP292" s="2"/>
      <c r="BQ292" s="2"/>
      <c r="BR292" s="2"/>
      <c r="BS292" s="2"/>
      <c r="BT292" s="2"/>
      <c r="BU292" s="2"/>
      <c r="BV292" s="2"/>
      <c r="BW292" s="2"/>
      <c r="BX292" s="2"/>
      <c r="BY292" s="2"/>
      <c r="BZ292" s="2"/>
      <c r="CA292" s="2"/>
      <c r="CB292" s="2"/>
      <c r="CC292" s="2"/>
      <c r="CD292" s="2"/>
      <c r="CE292" s="2"/>
      <c r="CF292" s="2"/>
      <c r="CG292" s="2"/>
      <c r="CH292" s="2"/>
      <c r="CI292" s="2"/>
      <c r="CJ292" s="2"/>
      <c r="CK292" s="2"/>
      <c r="CL292" s="2"/>
      <c r="CM292" s="2"/>
      <c r="CN292" s="2"/>
      <c r="CO292" s="2"/>
      <c r="CP292" s="2"/>
      <c r="CQ292" s="2"/>
      <c r="CR292" s="2"/>
      <c r="CS292" s="2"/>
      <c r="CT292" s="2"/>
      <c r="CU292" s="2"/>
      <c r="CV292" s="2"/>
      <c r="CW292" s="2"/>
      <c r="CX292" s="2"/>
      <c r="CY292" s="2"/>
      <c r="CZ292" s="2"/>
      <c r="DA292" s="2"/>
      <c r="DB292" s="2"/>
      <c r="DC292" s="2"/>
      <c r="DD292" s="2"/>
      <c r="DE292" s="2"/>
      <c r="DF292" s="2"/>
    </row>
    <row r="293" spans="1:112" hidden="1" x14ac:dyDescent="0.2">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c r="AB293" s="7"/>
      <c r="AC293" s="7"/>
      <c r="AD293" s="2"/>
      <c r="AE293" s="89">
        <f t="shared" ref="AE293:AP293" si="340">CHOOSE($AE$180,AE261,BF261,CG261)</f>
        <v>291667</v>
      </c>
      <c r="AF293" s="89">
        <f t="shared" si="340"/>
        <v>283334</v>
      </c>
      <c r="AG293" s="89">
        <f t="shared" si="340"/>
        <v>275001</v>
      </c>
      <c r="AH293" s="89">
        <f t="shared" si="340"/>
        <v>266668</v>
      </c>
      <c r="AI293" s="89">
        <f t="shared" si="340"/>
        <v>258335</v>
      </c>
      <c r="AJ293" s="89">
        <f t="shared" si="340"/>
        <v>250002</v>
      </c>
      <c r="AK293" s="89">
        <f t="shared" si="340"/>
        <v>241669</v>
      </c>
      <c r="AL293" s="89">
        <f t="shared" si="340"/>
        <v>233336</v>
      </c>
      <c r="AM293" s="89">
        <f t="shared" si="340"/>
        <v>225003</v>
      </c>
      <c r="AN293" s="89">
        <f t="shared" si="340"/>
        <v>216670</v>
      </c>
      <c r="AO293" s="89">
        <f t="shared" si="340"/>
        <v>208337</v>
      </c>
      <c r="AP293" s="89">
        <f t="shared" si="340"/>
        <v>200004</v>
      </c>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c r="BU293" s="2"/>
      <c r="BV293" s="2"/>
      <c r="BW293" s="2"/>
      <c r="BX293" s="2"/>
      <c r="BY293" s="2"/>
      <c r="BZ293" s="2"/>
      <c r="CA293" s="2"/>
      <c r="CB293" s="2"/>
      <c r="CC293" s="2"/>
      <c r="CD293" s="2"/>
      <c r="CE293" s="2"/>
      <c r="CF293" s="2"/>
      <c r="CG293" s="2"/>
      <c r="CH293" s="2"/>
      <c r="CI293" s="2"/>
      <c r="CJ293" s="2"/>
      <c r="CK293" s="2"/>
      <c r="CL293" s="2"/>
      <c r="CM293" s="2"/>
      <c r="CN293" s="2"/>
      <c r="CO293" s="2"/>
      <c r="CP293" s="2"/>
      <c r="CQ293" s="2"/>
      <c r="CR293" s="2"/>
      <c r="CS293" s="2"/>
      <c r="CT293" s="2"/>
      <c r="CU293" s="2"/>
      <c r="CV293" s="2"/>
      <c r="CW293" s="2"/>
      <c r="CX293" s="2"/>
      <c r="CY293" s="2"/>
      <c r="CZ293" s="2"/>
      <c r="DA293" s="2"/>
      <c r="DB293" s="2"/>
      <c r="DC293" s="2"/>
      <c r="DD293" s="2"/>
      <c r="DE293" s="2"/>
      <c r="DF293" s="2"/>
    </row>
    <row r="294" spans="1:112" hidden="1" x14ac:dyDescent="0.2">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c r="AB294" s="7"/>
      <c r="AC294" s="7"/>
      <c r="AD294" s="2"/>
      <c r="AE294" s="89">
        <f t="shared" ref="AE294:AP294" si="341">CHOOSE($AE$180,AE269,BF269,CG269)</f>
        <v>831811.52500000002</v>
      </c>
      <c r="AF294" s="89">
        <f t="shared" si="341"/>
        <v>868110.46906250005</v>
      </c>
      <c r="AG294" s="89">
        <f t="shared" si="341"/>
        <v>912964.71218749997</v>
      </c>
      <c r="AH294" s="89">
        <f t="shared" si="341"/>
        <v>965775.63437500002</v>
      </c>
      <c r="AI294" s="89">
        <f t="shared" si="341"/>
        <v>1025976.9556250001</v>
      </c>
      <c r="AJ294" s="89">
        <f t="shared" si="341"/>
        <v>1084377.5159375002</v>
      </c>
      <c r="AK294" s="89">
        <f t="shared" si="341"/>
        <v>1140411.0353125001</v>
      </c>
      <c r="AL294" s="89">
        <f t="shared" si="341"/>
        <v>1196917.3287500001</v>
      </c>
      <c r="AM294" s="89">
        <f t="shared" si="341"/>
        <v>1261380.30125</v>
      </c>
      <c r="AN294" s="89">
        <f t="shared" si="341"/>
        <v>1333266.0128125001</v>
      </c>
      <c r="AO294" s="89">
        <f t="shared" si="341"/>
        <v>1410834.8684375002</v>
      </c>
      <c r="AP294" s="89">
        <f t="shared" si="341"/>
        <v>1459442.7781250002</v>
      </c>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c r="BP294" s="2"/>
      <c r="BQ294" s="2"/>
      <c r="BR294" s="2"/>
      <c r="BS294" s="2"/>
      <c r="BT294" s="2"/>
      <c r="BU294" s="2"/>
      <c r="BV294" s="2"/>
      <c r="BW294" s="2"/>
      <c r="BX294" s="2"/>
      <c r="BY294" s="2"/>
      <c r="BZ294" s="2"/>
      <c r="CA294" s="2"/>
      <c r="CB294" s="2"/>
      <c r="CC294" s="2"/>
      <c r="CD294" s="2"/>
      <c r="CE294" s="2"/>
      <c r="CF294" s="2"/>
      <c r="CG294" s="2"/>
      <c r="CH294" s="2"/>
      <c r="CI294" s="2"/>
      <c r="CJ294" s="2"/>
      <c r="CK294" s="2"/>
      <c r="CL294" s="2"/>
      <c r="CM294" s="2"/>
      <c r="CN294" s="2"/>
      <c r="CO294" s="2"/>
      <c r="CP294" s="2"/>
      <c r="CQ294" s="2"/>
      <c r="CR294" s="2"/>
      <c r="CS294" s="2"/>
      <c r="CT294" s="2"/>
      <c r="CU294" s="2"/>
      <c r="CV294" s="2"/>
      <c r="CW294" s="2"/>
      <c r="CX294" s="2"/>
      <c r="CY294" s="2"/>
      <c r="CZ294" s="2"/>
      <c r="DA294" s="2"/>
      <c r="DB294" s="2"/>
      <c r="DC294" s="2"/>
      <c r="DD294" s="2"/>
      <c r="DE294" s="2"/>
      <c r="DF294" s="2"/>
    </row>
    <row r="295" spans="1:112" x14ac:dyDescent="0.2">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c r="AB295" s="7"/>
      <c r="AC295" s="7"/>
      <c r="AD295" s="2"/>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c r="BJ295" s="2"/>
      <c r="BK295" s="2"/>
      <c r="BL295" s="2"/>
      <c r="BM295" s="2"/>
      <c r="BN295" s="2"/>
      <c r="BO295" s="2"/>
      <c r="BP295" s="2"/>
      <c r="BQ295" s="2"/>
      <c r="BR295" s="2"/>
      <c r="BS295" s="2"/>
      <c r="BT295" s="2"/>
      <c r="BU295" s="2"/>
      <c r="BV295" s="2"/>
      <c r="BW295" s="2"/>
      <c r="BX295" s="2"/>
      <c r="BY295" s="2"/>
      <c r="BZ295" s="2"/>
      <c r="CA295" s="2"/>
      <c r="CB295" s="2"/>
      <c r="CC295" s="2"/>
      <c r="CD295" s="2"/>
      <c r="CE295" s="2"/>
      <c r="CF295" s="2"/>
      <c r="CG295" s="2"/>
      <c r="CH295" s="2"/>
      <c r="CI295" s="2"/>
      <c r="CJ295" s="2"/>
      <c r="CK295" s="2"/>
      <c r="CL295" s="2"/>
      <c r="CM295" s="2"/>
      <c r="CN295" s="2"/>
      <c r="CO295" s="2"/>
      <c r="CP295" s="2"/>
      <c r="CQ295" s="2"/>
      <c r="CR295" s="2"/>
      <c r="CS295" s="2"/>
      <c r="CT295" s="2"/>
      <c r="CU295" s="2"/>
      <c r="CV295" s="2"/>
      <c r="CW295" s="2"/>
      <c r="CX295" s="2"/>
      <c r="CY295" s="2"/>
      <c r="CZ295" s="2"/>
      <c r="DA295" s="2"/>
      <c r="DB295" s="2"/>
      <c r="DC295" s="2"/>
      <c r="DD295" s="2"/>
      <c r="DE295" s="2"/>
      <c r="DF295" s="2"/>
    </row>
    <row r="296" spans="1:112" x14ac:dyDescent="0.2">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c r="AB296" s="7"/>
      <c r="AC296" s="7"/>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c r="BP296" s="2"/>
      <c r="BQ296" s="2"/>
      <c r="BR296" s="2"/>
      <c r="BS296" s="2"/>
      <c r="BT296" s="2"/>
      <c r="BU296" s="2"/>
      <c r="BV296" s="2"/>
      <c r="BW296" s="2"/>
      <c r="BX296" s="2"/>
      <c r="BY296" s="2"/>
      <c r="BZ296" s="2"/>
      <c r="CA296" s="2"/>
      <c r="CB296" s="2"/>
      <c r="CC296" s="2"/>
      <c r="CD296" s="2"/>
      <c r="CE296" s="2"/>
      <c r="CF296" s="2"/>
      <c r="CG296" s="2"/>
      <c r="CH296" s="2"/>
      <c r="CI296" s="2"/>
      <c r="CJ296" s="2"/>
      <c r="CK296" s="2"/>
      <c r="CL296" s="2"/>
      <c r="CM296" s="2"/>
      <c r="CN296" s="2"/>
      <c r="CO296" s="2"/>
      <c r="CP296" s="2"/>
      <c r="CQ296" s="2"/>
      <c r="CR296" s="2"/>
      <c r="CS296" s="2"/>
      <c r="CT296" s="2"/>
      <c r="CU296" s="2"/>
      <c r="CV296" s="2"/>
      <c r="CW296" s="2"/>
      <c r="CX296" s="2"/>
      <c r="CY296" s="2"/>
      <c r="CZ296" s="2"/>
      <c r="DA296" s="2"/>
      <c r="DB296" s="2"/>
      <c r="DC296" s="2"/>
      <c r="DD296" s="2"/>
      <c r="DE296" s="2"/>
      <c r="DF296" s="2"/>
    </row>
    <row r="297" spans="1:112" x14ac:dyDescent="0.2">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c r="AB297" s="7"/>
      <c r="AC297" s="7"/>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c r="BU297" s="2"/>
      <c r="BV297" s="2"/>
      <c r="BW297" s="2"/>
      <c r="BX297" s="2"/>
      <c r="BY297" s="2"/>
      <c r="BZ297" s="2"/>
      <c r="CA297" s="2"/>
      <c r="CB297" s="2"/>
      <c r="CC297" s="2"/>
      <c r="CD297" s="2"/>
      <c r="CE297" s="2"/>
      <c r="CF297" s="2"/>
      <c r="CG297" s="2"/>
      <c r="CH297" s="2"/>
      <c r="CI297" s="2"/>
      <c r="CJ297" s="2"/>
      <c r="CK297" s="2"/>
      <c r="CL297" s="2"/>
      <c r="CM297" s="2"/>
      <c r="CN297" s="2"/>
      <c r="CO297" s="2"/>
      <c r="CP297" s="2"/>
      <c r="CQ297" s="2"/>
      <c r="CR297" s="2"/>
      <c r="CS297" s="2"/>
      <c r="CT297" s="2"/>
      <c r="CU297" s="2"/>
      <c r="CV297" s="2"/>
      <c r="CW297" s="2"/>
      <c r="CX297" s="2"/>
      <c r="CY297" s="2"/>
      <c r="CZ297" s="2"/>
      <c r="DA297" s="2"/>
      <c r="DB297" s="2"/>
      <c r="DC297" s="2"/>
      <c r="DD297" s="2"/>
      <c r="DE297" s="2"/>
      <c r="DF297" s="2"/>
    </row>
    <row r="298" spans="1:112" x14ac:dyDescent="0.2">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c r="AB298" s="7"/>
      <c r="AC298" s="7"/>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c r="BP298" s="2"/>
      <c r="BQ298" s="2"/>
      <c r="BR298" s="2"/>
      <c r="BS298" s="2"/>
      <c r="BT298" s="2"/>
      <c r="BU298" s="2"/>
      <c r="BV298" s="2"/>
      <c r="BW298" s="2"/>
      <c r="BX298" s="2"/>
      <c r="BY298" s="2"/>
      <c r="BZ298" s="2"/>
      <c r="CA298" s="2"/>
      <c r="CB298" s="2"/>
      <c r="CC298" s="2"/>
      <c r="CD298" s="2"/>
      <c r="CE298" s="2"/>
      <c r="CF298" s="2"/>
      <c r="CG298" s="2"/>
      <c r="CH298" s="2"/>
      <c r="CI298" s="2"/>
      <c r="CJ298" s="2"/>
      <c r="CK298" s="2"/>
      <c r="CL298" s="2"/>
      <c r="CM298" s="2"/>
      <c r="CN298" s="2"/>
      <c r="CO298" s="2"/>
      <c r="CP298" s="2"/>
      <c r="CQ298" s="2"/>
      <c r="CR298" s="2"/>
      <c r="CS298" s="2"/>
      <c r="CT298" s="2"/>
      <c r="CU298" s="2"/>
      <c r="CV298" s="2"/>
      <c r="CW298" s="2"/>
      <c r="CX298" s="2"/>
      <c r="CY298" s="2"/>
      <c r="CZ298" s="2"/>
      <c r="DA298" s="2"/>
      <c r="DB298" s="2"/>
      <c r="DC298" s="2"/>
      <c r="DD298" s="2"/>
      <c r="DE298" s="2"/>
      <c r="DF298" s="2"/>
    </row>
    <row r="299" spans="1:112" x14ac:dyDescent="0.2">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c r="AB299" s="7"/>
      <c r="AC299" s="7"/>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c r="BP299" s="2"/>
      <c r="BQ299" s="2"/>
      <c r="BR299" s="2"/>
      <c r="BS299" s="2"/>
      <c r="BT299" s="2"/>
      <c r="BU299" s="2"/>
      <c r="BV299" s="2"/>
      <c r="BW299" s="2"/>
      <c r="BX299" s="2"/>
      <c r="BY299" s="2"/>
      <c r="BZ299" s="2"/>
      <c r="CA299" s="2"/>
      <c r="CB299" s="2"/>
      <c r="CC299" s="2"/>
      <c r="CD299" s="2"/>
      <c r="CE299" s="2"/>
      <c r="CF299" s="2"/>
      <c r="CG299" s="2"/>
      <c r="CH299" s="2"/>
      <c r="CI299" s="2"/>
      <c r="CJ299" s="2"/>
      <c r="CK299" s="2"/>
      <c r="CL299" s="2"/>
      <c r="CM299" s="2"/>
      <c r="CN299" s="2"/>
      <c r="CO299" s="2"/>
      <c r="CP299" s="2"/>
      <c r="CQ299" s="2"/>
      <c r="CR299" s="2"/>
      <c r="CS299" s="2"/>
      <c r="CT299" s="2"/>
      <c r="CU299" s="2"/>
      <c r="CV299" s="2"/>
      <c r="CW299" s="2"/>
      <c r="CX299" s="2"/>
      <c r="CY299" s="2"/>
      <c r="CZ299" s="2"/>
      <c r="DA299" s="2"/>
      <c r="DB299" s="2"/>
      <c r="DC299" s="2"/>
      <c r="DD299" s="2"/>
      <c r="DE299" s="2"/>
      <c r="DF299" s="2"/>
    </row>
    <row r="300" spans="1:112" x14ac:dyDescent="0.2">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c r="AB300" s="7"/>
      <c r="AC300" s="7"/>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c r="BP300" s="2"/>
      <c r="BQ300" s="2"/>
      <c r="BR300" s="2"/>
      <c r="BS300" s="2"/>
      <c r="BT300" s="2"/>
      <c r="BU300" s="2"/>
      <c r="BV300" s="2"/>
      <c r="BW300" s="2"/>
      <c r="BX300" s="2"/>
      <c r="BY300" s="2"/>
      <c r="BZ300" s="2"/>
      <c r="CA300" s="2"/>
      <c r="CB300" s="2"/>
      <c r="CC300" s="2"/>
      <c r="CD300" s="2"/>
      <c r="CE300" s="2"/>
      <c r="CF300" s="2"/>
      <c r="CG300" s="2"/>
      <c r="CH300" s="2"/>
      <c r="CI300" s="2"/>
      <c r="CJ300" s="2"/>
      <c r="CK300" s="2"/>
      <c r="CL300" s="2"/>
      <c r="CM300" s="2"/>
      <c r="CN300" s="2"/>
      <c r="CO300" s="2"/>
      <c r="CP300" s="2"/>
      <c r="CQ300" s="2"/>
      <c r="CR300" s="2"/>
      <c r="CS300" s="2"/>
      <c r="CT300" s="2"/>
      <c r="CU300" s="2"/>
      <c r="CV300" s="2"/>
      <c r="CW300" s="2"/>
      <c r="CX300" s="2"/>
      <c r="CY300" s="2"/>
      <c r="CZ300" s="2"/>
      <c r="DA300" s="2"/>
      <c r="DB300" s="2"/>
      <c r="DC300" s="2"/>
      <c r="DD300" s="2"/>
      <c r="DE300" s="2"/>
      <c r="DF300" s="2"/>
    </row>
    <row r="301" spans="1:112" x14ac:dyDescent="0.2">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c r="AB301" s="7"/>
      <c r="AC301" s="7"/>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2"/>
      <c r="BJ301" s="2"/>
      <c r="BK301" s="2"/>
      <c r="BL301" s="2"/>
      <c r="BM301" s="2"/>
      <c r="BN301" s="2"/>
      <c r="BO301" s="2"/>
      <c r="BP301" s="2"/>
      <c r="BQ301" s="2"/>
      <c r="BR301" s="2"/>
      <c r="BS301" s="2"/>
      <c r="BT301" s="2"/>
      <c r="BU301" s="2"/>
      <c r="BV301" s="2"/>
      <c r="BW301" s="2"/>
      <c r="BX301" s="2"/>
      <c r="BY301" s="2"/>
      <c r="BZ301" s="2"/>
      <c r="CA301" s="2"/>
      <c r="CB301" s="2"/>
      <c r="CC301" s="2"/>
      <c r="CD301" s="2"/>
      <c r="CE301" s="2"/>
      <c r="CF301" s="2"/>
      <c r="CG301" s="2"/>
      <c r="CH301" s="2"/>
      <c r="CI301" s="2"/>
      <c r="CJ301" s="2"/>
      <c r="CK301" s="2"/>
      <c r="CL301" s="2"/>
      <c r="CM301" s="2"/>
      <c r="CN301" s="2"/>
      <c r="CO301" s="2"/>
      <c r="CP301" s="2"/>
      <c r="CQ301" s="2"/>
      <c r="CR301" s="2"/>
      <c r="CS301" s="2"/>
      <c r="CT301" s="2"/>
      <c r="CU301" s="2"/>
      <c r="CV301" s="2"/>
      <c r="CW301" s="2"/>
      <c r="CX301" s="2"/>
      <c r="CY301" s="2"/>
      <c r="CZ301" s="2"/>
      <c r="DA301" s="2"/>
      <c r="DB301" s="2"/>
      <c r="DC301" s="2"/>
      <c r="DD301" s="2"/>
      <c r="DE301" s="2"/>
      <c r="DF301" s="2"/>
    </row>
    <row r="302" spans="1:112" x14ac:dyDescent="0.2">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c r="AB302" s="7"/>
      <c r="AC302" s="7"/>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c r="BP302" s="2"/>
      <c r="BQ302" s="2"/>
      <c r="BR302" s="2"/>
      <c r="BS302" s="2"/>
      <c r="BT302" s="2"/>
      <c r="BU302" s="2"/>
      <c r="BV302" s="2"/>
      <c r="BW302" s="2"/>
      <c r="BX302" s="2"/>
      <c r="BY302" s="2"/>
      <c r="BZ302" s="2"/>
      <c r="CA302" s="2"/>
      <c r="CB302" s="2"/>
      <c r="CC302" s="2"/>
      <c r="CD302" s="2"/>
      <c r="CE302" s="2"/>
      <c r="CF302" s="2"/>
      <c r="CG302" s="2"/>
      <c r="CH302" s="2"/>
      <c r="CI302" s="2"/>
      <c r="CJ302" s="2"/>
      <c r="CK302" s="2"/>
      <c r="CL302" s="2"/>
      <c r="CM302" s="2"/>
      <c r="CN302" s="2"/>
      <c r="CO302" s="2"/>
      <c r="CP302" s="2"/>
      <c r="CQ302" s="2"/>
      <c r="CR302" s="2"/>
      <c r="CS302" s="2"/>
      <c r="CT302" s="2"/>
      <c r="CU302" s="2"/>
      <c r="CV302" s="2"/>
      <c r="CW302" s="2"/>
      <c r="CX302" s="2"/>
      <c r="CY302" s="2"/>
      <c r="CZ302" s="2"/>
      <c r="DA302" s="2"/>
      <c r="DB302" s="2"/>
      <c r="DC302" s="2"/>
      <c r="DD302" s="2"/>
      <c r="DE302" s="2"/>
      <c r="DF302" s="2"/>
    </row>
    <row r="303" spans="1:112" x14ac:dyDescent="0.2">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c r="AB303" s="7"/>
      <c r="AC303" s="7"/>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c r="BP303" s="2"/>
      <c r="BQ303" s="2"/>
      <c r="BR303" s="2"/>
      <c r="BS303" s="2"/>
      <c r="BT303" s="2"/>
      <c r="BU303" s="2"/>
      <c r="BV303" s="2"/>
      <c r="BW303" s="2"/>
      <c r="BX303" s="2"/>
      <c r="BY303" s="2"/>
      <c r="BZ303" s="2"/>
      <c r="CA303" s="2"/>
      <c r="CB303" s="2"/>
      <c r="CC303" s="2"/>
      <c r="CD303" s="2"/>
      <c r="CE303" s="2"/>
      <c r="CF303" s="2"/>
      <c r="CG303" s="2"/>
      <c r="CH303" s="2"/>
      <c r="CI303" s="2"/>
      <c r="CJ303" s="2"/>
      <c r="CK303" s="2"/>
      <c r="CL303" s="2"/>
      <c r="CM303" s="2"/>
      <c r="CN303" s="2"/>
      <c r="CO303" s="2"/>
      <c r="CP303" s="2"/>
      <c r="CQ303" s="2"/>
      <c r="CR303" s="2"/>
      <c r="CS303" s="2"/>
      <c r="CT303" s="2"/>
      <c r="CU303" s="2"/>
      <c r="CV303" s="2"/>
      <c r="CW303" s="2"/>
      <c r="CX303" s="2"/>
      <c r="CY303" s="2"/>
      <c r="CZ303" s="2"/>
      <c r="DA303" s="2"/>
      <c r="DB303" s="2"/>
      <c r="DC303" s="2"/>
      <c r="DD303" s="2"/>
      <c r="DE303" s="2"/>
      <c r="DF303" s="2"/>
    </row>
    <row r="304" spans="1:112" x14ac:dyDescent="0.2">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c r="AB304" s="7"/>
      <c r="AC304" s="7"/>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c r="BP304" s="2"/>
      <c r="BQ304" s="2"/>
      <c r="BR304" s="2"/>
      <c r="BS304" s="2"/>
      <c r="BT304" s="2"/>
      <c r="BU304" s="2"/>
      <c r="BV304" s="2"/>
      <c r="BW304" s="2"/>
      <c r="BX304" s="2"/>
      <c r="BY304" s="2"/>
      <c r="BZ304" s="2"/>
      <c r="CA304" s="2"/>
      <c r="CB304" s="2"/>
      <c r="CC304" s="2"/>
      <c r="CD304" s="2"/>
      <c r="CE304" s="2"/>
      <c r="CF304" s="2"/>
      <c r="CG304" s="2"/>
      <c r="CH304" s="2"/>
      <c r="CI304" s="2"/>
      <c r="CJ304" s="2"/>
      <c r="CK304" s="2"/>
      <c r="CL304" s="2"/>
      <c r="CM304" s="2"/>
      <c r="CN304" s="2"/>
      <c r="CO304" s="2"/>
      <c r="CP304" s="2"/>
      <c r="CQ304" s="2"/>
      <c r="CR304" s="2"/>
      <c r="CS304" s="2"/>
      <c r="CT304" s="2"/>
      <c r="CU304" s="2"/>
      <c r="CV304" s="2"/>
      <c r="CW304" s="2"/>
      <c r="CX304" s="2"/>
      <c r="CY304" s="2"/>
      <c r="CZ304" s="2"/>
      <c r="DA304" s="2"/>
      <c r="DB304" s="2"/>
      <c r="DC304" s="2"/>
      <c r="DD304" s="2"/>
      <c r="DE304" s="2"/>
      <c r="DF304" s="2"/>
    </row>
    <row r="305" spans="1:110" x14ac:dyDescent="0.2">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c r="AB305" s="7"/>
      <c r="AC305" s="7"/>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c r="BP305" s="2"/>
      <c r="BQ305" s="2"/>
      <c r="BR305" s="2"/>
      <c r="BS305" s="2"/>
      <c r="BT305" s="2"/>
      <c r="BU305" s="2"/>
      <c r="BV305" s="2"/>
      <c r="BW305" s="2"/>
      <c r="BX305" s="2"/>
      <c r="BY305" s="2"/>
      <c r="BZ305" s="2"/>
      <c r="CA305" s="2"/>
      <c r="CB305" s="2"/>
      <c r="CC305" s="2"/>
      <c r="CD305" s="2"/>
      <c r="CE305" s="2"/>
      <c r="CF305" s="2"/>
      <c r="CG305" s="2"/>
      <c r="CH305" s="2"/>
      <c r="CI305" s="2"/>
      <c r="CJ305" s="2"/>
      <c r="CK305" s="2"/>
      <c r="CL305" s="2"/>
      <c r="CM305" s="2"/>
      <c r="CN305" s="2"/>
      <c r="CO305" s="2"/>
      <c r="CP305" s="2"/>
      <c r="CQ305" s="2"/>
      <c r="CR305" s="2"/>
      <c r="CS305" s="2"/>
      <c r="CT305" s="2"/>
      <c r="CU305" s="2"/>
      <c r="CV305" s="2"/>
      <c r="CW305" s="2"/>
      <c r="CX305" s="2"/>
      <c r="CY305" s="2"/>
      <c r="CZ305" s="2"/>
      <c r="DA305" s="2"/>
      <c r="DB305" s="2"/>
      <c r="DC305" s="2"/>
      <c r="DD305" s="2"/>
      <c r="DE305" s="2"/>
      <c r="DF305" s="2"/>
    </row>
    <row r="306" spans="1:110" x14ac:dyDescent="0.2">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c r="AB306" s="7"/>
      <c r="AC306" s="7"/>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c r="BP306" s="2"/>
      <c r="BQ306" s="2"/>
      <c r="BR306" s="2"/>
      <c r="BS306" s="2"/>
      <c r="BT306" s="2"/>
      <c r="BU306" s="2"/>
      <c r="BV306" s="2"/>
      <c r="BW306" s="2"/>
      <c r="BX306" s="2"/>
      <c r="BY306" s="2"/>
      <c r="BZ306" s="2"/>
      <c r="CA306" s="2"/>
      <c r="CB306" s="2"/>
      <c r="CC306" s="2"/>
      <c r="CD306" s="2"/>
      <c r="CE306" s="2"/>
      <c r="CF306" s="2"/>
      <c r="CG306" s="2"/>
      <c r="CH306" s="2"/>
      <c r="CI306" s="2"/>
      <c r="CJ306" s="2"/>
      <c r="CK306" s="2"/>
      <c r="CL306" s="2"/>
      <c r="CM306" s="2"/>
      <c r="CN306" s="2"/>
      <c r="CO306" s="2"/>
      <c r="CP306" s="2"/>
      <c r="CQ306" s="2"/>
      <c r="CR306" s="2"/>
      <c r="CS306" s="2"/>
      <c r="CT306" s="2"/>
      <c r="CU306" s="2"/>
      <c r="CV306" s="2"/>
      <c r="CW306" s="2"/>
      <c r="CX306" s="2"/>
      <c r="CY306" s="2"/>
      <c r="CZ306" s="2"/>
      <c r="DA306" s="2"/>
      <c r="DB306" s="2"/>
      <c r="DC306" s="2"/>
      <c r="DD306" s="2"/>
      <c r="DE306" s="2"/>
      <c r="DF306" s="2"/>
    </row>
    <row r="307" spans="1:110" x14ac:dyDescent="0.2">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c r="AB307" s="7"/>
      <c r="AC307" s="7"/>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c r="BP307" s="2"/>
      <c r="BQ307" s="2"/>
      <c r="BR307" s="2"/>
      <c r="BS307" s="2"/>
      <c r="BT307" s="2"/>
      <c r="BU307" s="2"/>
      <c r="BV307" s="2"/>
      <c r="BW307" s="2"/>
      <c r="BX307" s="2"/>
      <c r="BY307" s="2"/>
      <c r="BZ307" s="2"/>
      <c r="CA307" s="2"/>
      <c r="CB307" s="2"/>
      <c r="CC307" s="2"/>
      <c r="CD307" s="2"/>
      <c r="CE307" s="2"/>
      <c r="CF307" s="2"/>
      <c r="CG307" s="2"/>
      <c r="CH307" s="2"/>
      <c r="CI307" s="2"/>
      <c r="CJ307" s="2"/>
      <c r="CK307" s="2"/>
      <c r="CL307" s="2"/>
      <c r="CM307" s="2"/>
      <c r="CN307" s="2"/>
      <c r="CO307" s="2"/>
      <c r="CP307" s="2"/>
      <c r="CQ307" s="2"/>
      <c r="CR307" s="2"/>
      <c r="CS307" s="2"/>
      <c r="CT307" s="2"/>
      <c r="CU307" s="2"/>
      <c r="CV307" s="2"/>
      <c r="CW307" s="2"/>
      <c r="CX307" s="2"/>
      <c r="CY307" s="2"/>
      <c r="CZ307" s="2"/>
      <c r="DA307" s="2"/>
      <c r="DB307" s="2"/>
      <c r="DC307" s="2"/>
      <c r="DD307" s="2"/>
      <c r="DE307" s="2"/>
      <c r="DF307" s="2"/>
    </row>
    <row r="308" spans="1:110" x14ac:dyDescent="0.2">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c r="AB308" s="7"/>
      <c r="AC308" s="7"/>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c r="BP308" s="2"/>
      <c r="BQ308" s="2"/>
      <c r="BR308" s="2"/>
      <c r="BS308" s="2"/>
      <c r="BT308" s="2"/>
      <c r="BU308" s="2"/>
      <c r="BV308" s="2"/>
      <c r="BW308" s="2"/>
      <c r="BX308" s="2"/>
      <c r="BY308" s="2"/>
      <c r="BZ308" s="2"/>
      <c r="CA308" s="2"/>
      <c r="CB308" s="2"/>
      <c r="CC308" s="2"/>
      <c r="CD308" s="2"/>
      <c r="CE308" s="2"/>
      <c r="CF308" s="2"/>
      <c r="CG308" s="2"/>
      <c r="CH308" s="2"/>
      <c r="CI308" s="2"/>
      <c r="CJ308" s="2"/>
      <c r="CK308" s="2"/>
      <c r="CL308" s="2"/>
      <c r="CM308" s="2"/>
      <c r="CN308" s="2"/>
      <c r="CO308" s="2"/>
      <c r="CP308" s="2"/>
      <c r="CQ308" s="2"/>
      <c r="CR308" s="2"/>
      <c r="CS308" s="2"/>
      <c r="CT308" s="2"/>
      <c r="CU308" s="2"/>
      <c r="CV308" s="2"/>
      <c r="CW308" s="2"/>
      <c r="CX308" s="2"/>
      <c r="CY308" s="2"/>
      <c r="CZ308" s="2"/>
      <c r="DA308" s="2"/>
      <c r="DB308" s="2"/>
      <c r="DC308" s="2"/>
      <c r="DD308" s="2"/>
      <c r="DE308" s="2"/>
      <c r="DF308" s="2"/>
    </row>
    <row r="309" spans="1:110" x14ac:dyDescent="0.2">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c r="AB309" s="7"/>
      <c r="AC309" s="7"/>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c r="BP309" s="2"/>
      <c r="BQ309" s="2"/>
      <c r="BR309" s="2"/>
      <c r="BS309" s="2"/>
      <c r="BT309" s="2"/>
      <c r="BU309" s="2"/>
      <c r="BV309" s="2"/>
      <c r="BW309" s="2"/>
      <c r="BX309" s="2"/>
      <c r="BY309" s="2"/>
      <c r="BZ309" s="2"/>
      <c r="CA309" s="2"/>
      <c r="CB309" s="2"/>
      <c r="CC309" s="2"/>
      <c r="CD309" s="2"/>
      <c r="CE309" s="2"/>
      <c r="CF309" s="2"/>
      <c r="CG309" s="2"/>
      <c r="CH309" s="2"/>
      <c r="CI309" s="2"/>
      <c r="CJ309" s="2"/>
      <c r="CK309" s="2"/>
      <c r="CL309" s="2"/>
      <c r="CM309" s="2"/>
      <c r="CN309" s="2"/>
      <c r="CO309" s="2"/>
      <c r="CP309" s="2"/>
      <c r="CQ309" s="2"/>
      <c r="CR309" s="2"/>
      <c r="CS309" s="2"/>
      <c r="CT309" s="2"/>
      <c r="CU309" s="2"/>
      <c r="CV309" s="2"/>
      <c r="CW309" s="2"/>
      <c r="CX309" s="2"/>
      <c r="CY309" s="2"/>
      <c r="CZ309" s="2"/>
      <c r="DA309" s="2"/>
      <c r="DB309" s="2"/>
      <c r="DC309" s="2"/>
      <c r="DD309" s="2"/>
      <c r="DE309" s="2"/>
      <c r="DF309" s="2"/>
    </row>
    <row r="310" spans="1:110" x14ac:dyDescent="0.2">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c r="AB310" s="7"/>
      <c r="AC310" s="7"/>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c r="BU310" s="2"/>
      <c r="BV310" s="2"/>
      <c r="BW310" s="2"/>
      <c r="BX310" s="2"/>
      <c r="BY310" s="2"/>
      <c r="BZ310" s="2"/>
      <c r="CA310" s="2"/>
      <c r="CB310" s="2"/>
      <c r="CC310" s="2"/>
      <c r="CD310" s="2"/>
      <c r="CE310" s="2"/>
      <c r="CF310" s="2"/>
      <c r="CG310" s="2"/>
      <c r="CH310" s="2"/>
      <c r="CI310" s="2"/>
      <c r="CJ310" s="2"/>
      <c r="CK310" s="2"/>
      <c r="CL310" s="2"/>
      <c r="CM310" s="2"/>
      <c r="CN310" s="2"/>
      <c r="CO310" s="2"/>
      <c r="CP310" s="2"/>
      <c r="CQ310" s="2"/>
      <c r="CR310" s="2"/>
      <c r="CS310" s="2"/>
      <c r="CT310" s="2"/>
      <c r="CU310" s="2"/>
      <c r="CV310" s="2"/>
      <c r="CW310" s="2"/>
      <c r="CX310" s="2"/>
      <c r="CY310" s="2"/>
      <c r="CZ310" s="2"/>
      <c r="DA310" s="2"/>
      <c r="DB310" s="2"/>
      <c r="DC310" s="2"/>
      <c r="DD310" s="2"/>
      <c r="DE310" s="2"/>
      <c r="DF310" s="2"/>
    </row>
    <row r="311" spans="1:110" x14ac:dyDescent="0.2">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c r="AB311" s="7"/>
      <c r="AC311" s="7"/>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c r="BP311" s="2"/>
      <c r="BQ311" s="2"/>
      <c r="BR311" s="2"/>
      <c r="BS311" s="2"/>
      <c r="BT311" s="2"/>
      <c r="BU311" s="2"/>
      <c r="BV311" s="2"/>
      <c r="BW311" s="2"/>
      <c r="BX311" s="2"/>
      <c r="BY311" s="2"/>
      <c r="BZ311" s="2"/>
      <c r="CA311" s="2"/>
      <c r="CB311" s="2"/>
      <c r="CC311" s="2"/>
      <c r="CD311" s="2"/>
      <c r="CE311" s="2"/>
      <c r="CF311" s="2"/>
      <c r="CG311" s="2"/>
      <c r="CH311" s="2"/>
      <c r="CI311" s="2"/>
      <c r="CJ311" s="2"/>
      <c r="CK311" s="2"/>
      <c r="CL311" s="2"/>
      <c r="CM311" s="2"/>
      <c r="CN311" s="2"/>
      <c r="CO311" s="2"/>
      <c r="CP311" s="2"/>
      <c r="CQ311" s="2"/>
      <c r="CR311" s="2"/>
      <c r="CS311" s="2"/>
      <c r="CT311" s="2"/>
      <c r="CU311" s="2"/>
      <c r="CV311" s="2"/>
      <c r="CW311" s="2"/>
      <c r="CX311" s="2"/>
      <c r="CY311" s="2"/>
      <c r="CZ311" s="2"/>
      <c r="DA311" s="2"/>
      <c r="DB311" s="2"/>
      <c r="DC311" s="2"/>
      <c r="DD311" s="2"/>
      <c r="DE311" s="2"/>
      <c r="DF311" s="2"/>
    </row>
    <row r="312" spans="1:110" x14ac:dyDescent="0.2">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c r="AB312" s="7"/>
      <c r="AC312" s="7"/>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c r="BP312" s="2"/>
      <c r="BQ312" s="2"/>
      <c r="BR312" s="2"/>
      <c r="BS312" s="2"/>
      <c r="BT312" s="2"/>
      <c r="BU312" s="2"/>
      <c r="BV312" s="2"/>
      <c r="BW312" s="2"/>
      <c r="BX312" s="2"/>
      <c r="BY312" s="2"/>
      <c r="BZ312" s="2"/>
      <c r="CA312" s="2"/>
      <c r="CB312" s="2"/>
      <c r="CC312" s="2"/>
      <c r="CD312" s="2"/>
      <c r="CE312" s="2"/>
      <c r="CF312" s="2"/>
      <c r="CG312" s="2"/>
      <c r="CH312" s="2"/>
      <c r="CI312" s="2"/>
      <c r="CJ312" s="2"/>
      <c r="CK312" s="2"/>
      <c r="CL312" s="2"/>
      <c r="CM312" s="2"/>
      <c r="CN312" s="2"/>
      <c r="CO312" s="2"/>
      <c r="CP312" s="2"/>
      <c r="CQ312" s="2"/>
      <c r="CR312" s="2"/>
      <c r="CS312" s="2"/>
      <c r="CT312" s="2"/>
      <c r="CU312" s="2"/>
      <c r="CV312" s="2"/>
      <c r="CW312" s="2"/>
      <c r="CX312" s="2"/>
      <c r="CY312" s="2"/>
      <c r="CZ312" s="2"/>
      <c r="DA312" s="2"/>
      <c r="DB312" s="2"/>
      <c r="DC312" s="2"/>
      <c r="DD312" s="2"/>
      <c r="DE312" s="2"/>
      <c r="DF312" s="2"/>
    </row>
    <row r="313" spans="1:110" x14ac:dyDescent="0.2">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c r="AB313" s="7"/>
      <c r="AC313" s="7"/>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c r="BU313" s="2"/>
      <c r="BV313" s="2"/>
      <c r="BW313" s="2"/>
      <c r="BX313" s="2"/>
      <c r="BY313" s="2"/>
      <c r="BZ313" s="2"/>
      <c r="CA313" s="2"/>
      <c r="CB313" s="2"/>
      <c r="CC313" s="2"/>
      <c r="CD313" s="2"/>
      <c r="CE313" s="2"/>
      <c r="CF313" s="2"/>
      <c r="CG313" s="2"/>
      <c r="CH313" s="2"/>
      <c r="CI313" s="2"/>
      <c r="CJ313" s="2"/>
      <c r="CK313" s="2"/>
      <c r="CL313" s="2"/>
      <c r="CM313" s="2"/>
      <c r="CN313" s="2"/>
      <c r="CO313" s="2"/>
      <c r="CP313" s="2"/>
      <c r="CQ313" s="2"/>
      <c r="CR313" s="2"/>
      <c r="CS313" s="2"/>
      <c r="CT313" s="2"/>
      <c r="CU313" s="2"/>
      <c r="CV313" s="2"/>
      <c r="CW313" s="2"/>
      <c r="CX313" s="2"/>
      <c r="CY313" s="2"/>
      <c r="CZ313" s="2"/>
      <c r="DA313" s="2"/>
      <c r="DB313" s="2"/>
      <c r="DC313" s="2"/>
      <c r="DD313" s="2"/>
      <c r="DE313" s="2"/>
      <c r="DF313" s="2"/>
    </row>
    <row r="314" spans="1:110" x14ac:dyDescent="0.2">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c r="AB314" s="7"/>
      <c r="AC314" s="7"/>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c r="BP314" s="2"/>
      <c r="BQ314" s="2"/>
      <c r="BR314" s="2"/>
      <c r="BS314" s="2"/>
      <c r="BT314" s="2"/>
      <c r="BU314" s="2"/>
      <c r="BV314" s="2"/>
      <c r="BW314" s="2"/>
      <c r="BX314" s="2"/>
      <c r="BY314" s="2"/>
      <c r="BZ314" s="2"/>
      <c r="CA314" s="2"/>
      <c r="CB314" s="2"/>
      <c r="CC314" s="2"/>
      <c r="CD314" s="2"/>
      <c r="CE314" s="2"/>
      <c r="CF314" s="2"/>
      <c r="CG314" s="2"/>
      <c r="CH314" s="2"/>
      <c r="CI314" s="2"/>
      <c r="CJ314" s="2"/>
      <c r="CK314" s="2"/>
      <c r="CL314" s="2"/>
      <c r="CM314" s="2"/>
      <c r="CN314" s="2"/>
      <c r="CO314" s="2"/>
      <c r="CP314" s="2"/>
      <c r="CQ314" s="2"/>
      <c r="CR314" s="2"/>
      <c r="CS314" s="2"/>
      <c r="CT314" s="2"/>
      <c r="CU314" s="2"/>
      <c r="CV314" s="2"/>
      <c r="CW314" s="2"/>
      <c r="CX314" s="2"/>
      <c r="CY314" s="2"/>
      <c r="CZ314" s="2"/>
      <c r="DA314" s="2"/>
      <c r="DB314" s="2"/>
      <c r="DC314" s="2"/>
      <c r="DD314" s="2"/>
      <c r="DE314" s="2"/>
      <c r="DF314" s="2"/>
    </row>
    <row r="315" spans="1:110" x14ac:dyDescent="0.2">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c r="AB315" s="7"/>
      <c r="AC315" s="7"/>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c r="BP315" s="2"/>
      <c r="BQ315" s="2"/>
      <c r="BR315" s="2"/>
      <c r="BS315" s="2"/>
      <c r="BT315" s="2"/>
      <c r="BU315" s="2"/>
      <c r="BV315" s="2"/>
      <c r="BW315" s="2"/>
      <c r="BX315" s="2"/>
      <c r="BY315" s="2"/>
      <c r="BZ315" s="2"/>
      <c r="CA315" s="2"/>
      <c r="CB315" s="2"/>
      <c r="CC315" s="2"/>
      <c r="CD315" s="2"/>
      <c r="CE315" s="2"/>
      <c r="CF315" s="2"/>
      <c r="CG315" s="2"/>
      <c r="CH315" s="2"/>
      <c r="CI315" s="2"/>
      <c r="CJ315" s="2"/>
      <c r="CK315" s="2"/>
      <c r="CL315" s="2"/>
      <c r="CM315" s="2"/>
      <c r="CN315" s="2"/>
      <c r="CO315" s="2"/>
      <c r="CP315" s="2"/>
      <c r="CQ315" s="2"/>
      <c r="CR315" s="2"/>
      <c r="CS315" s="2"/>
      <c r="CT315" s="2"/>
      <c r="CU315" s="2"/>
      <c r="CV315" s="2"/>
      <c r="CW315" s="2"/>
      <c r="CX315" s="2"/>
      <c r="CY315" s="2"/>
      <c r="CZ315" s="2"/>
      <c r="DA315" s="2"/>
      <c r="DB315" s="2"/>
      <c r="DC315" s="2"/>
      <c r="DD315" s="2"/>
      <c r="DE315" s="2"/>
      <c r="DF315" s="2"/>
    </row>
    <row r="316" spans="1:110" x14ac:dyDescent="0.2">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c r="AA316" s="7"/>
      <c r="AB316" s="7"/>
      <c r="AC316" s="7"/>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c r="BP316" s="2"/>
      <c r="BQ316" s="2"/>
      <c r="BR316" s="2"/>
      <c r="BS316" s="2"/>
      <c r="BT316" s="2"/>
      <c r="BU316" s="2"/>
      <c r="BV316" s="2"/>
      <c r="BW316" s="2"/>
      <c r="BX316" s="2"/>
      <c r="BY316" s="2"/>
      <c r="BZ316" s="2"/>
      <c r="CA316" s="2"/>
      <c r="CB316" s="2"/>
      <c r="CC316" s="2"/>
      <c r="CD316" s="2"/>
      <c r="CE316" s="2"/>
      <c r="CF316" s="2"/>
      <c r="CG316" s="2"/>
      <c r="CH316" s="2"/>
      <c r="CI316" s="2"/>
      <c r="CJ316" s="2"/>
      <c r="CK316" s="2"/>
      <c r="CL316" s="2"/>
      <c r="CM316" s="2"/>
      <c r="CN316" s="2"/>
      <c r="CO316" s="2"/>
      <c r="CP316" s="2"/>
      <c r="CQ316" s="2"/>
      <c r="CR316" s="2"/>
      <c r="CS316" s="2"/>
      <c r="CT316" s="2"/>
      <c r="CU316" s="2"/>
      <c r="CV316" s="2"/>
      <c r="CW316" s="2"/>
      <c r="CX316" s="2"/>
      <c r="CY316" s="2"/>
      <c r="CZ316" s="2"/>
      <c r="DA316" s="2"/>
      <c r="DB316" s="2"/>
      <c r="DC316" s="2"/>
      <c r="DD316" s="2"/>
      <c r="DE316" s="2"/>
      <c r="DF316" s="2"/>
    </row>
    <row r="317" spans="1:110" x14ac:dyDescent="0.2">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c r="AA317" s="7"/>
      <c r="AB317" s="7"/>
      <c r="AC317" s="7"/>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c r="BP317" s="2"/>
      <c r="BQ317" s="2"/>
      <c r="BR317" s="2"/>
      <c r="BS317" s="2"/>
      <c r="BT317" s="2"/>
      <c r="BU317" s="2"/>
      <c r="BV317" s="2"/>
      <c r="BW317" s="2"/>
      <c r="BX317" s="2"/>
      <c r="BY317" s="2"/>
      <c r="BZ317" s="2"/>
      <c r="CA317" s="2"/>
      <c r="CB317" s="2"/>
      <c r="CC317" s="2"/>
      <c r="CD317" s="2"/>
      <c r="CE317" s="2"/>
      <c r="CF317" s="2"/>
      <c r="CG317" s="2"/>
      <c r="CH317" s="2"/>
      <c r="CI317" s="2"/>
      <c r="CJ317" s="2"/>
      <c r="CK317" s="2"/>
      <c r="CL317" s="2"/>
      <c r="CM317" s="2"/>
      <c r="CN317" s="2"/>
      <c r="CO317" s="2"/>
      <c r="CP317" s="2"/>
      <c r="CQ317" s="2"/>
      <c r="CR317" s="2"/>
      <c r="CS317" s="2"/>
      <c r="CT317" s="2"/>
      <c r="CU317" s="2"/>
      <c r="CV317" s="2"/>
      <c r="CW317" s="2"/>
      <c r="CX317" s="2"/>
      <c r="CY317" s="2"/>
      <c r="CZ317" s="2"/>
      <c r="DA317" s="2"/>
      <c r="DB317" s="2"/>
      <c r="DC317" s="2"/>
      <c r="DD317" s="2"/>
      <c r="DE317" s="2"/>
      <c r="DF317" s="2"/>
    </row>
    <row r="318" spans="1:110" x14ac:dyDescent="0.2">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c r="AA318" s="7"/>
      <c r="AB318" s="7"/>
      <c r="AC318" s="7"/>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2"/>
      <c r="BJ318" s="2"/>
      <c r="BK318" s="2"/>
      <c r="BL318" s="2"/>
      <c r="BM318" s="2"/>
      <c r="BN318" s="2"/>
      <c r="BO318" s="2"/>
      <c r="BP318" s="2"/>
      <c r="BQ318" s="2"/>
      <c r="BR318" s="2"/>
      <c r="BS318" s="2"/>
      <c r="BT318" s="2"/>
      <c r="BU318" s="2"/>
      <c r="BV318" s="2"/>
      <c r="BW318" s="2"/>
      <c r="BX318" s="2"/>
      <c r="BY318" s="2"/>
      <c r="BZ318" s="2"/>
      <c r="CA318" s="2"/>
      <c r="CB318" s="2"/>
      <c r="CC318" s="2"/>
      <c r="CD318" s="2"/>
      <c r="CE318" s="2"/>
      <c r="CF318" s="2"/>
      <c r="CG318" s="2"/>
      <c r="CH318" s="2"/>
      <c r="CI318" s="2"/>
      <c r="CJ318" s="2"/>
      <c r="CK318" s="2"/>
      <c r="CL318" s="2"/>
      <c r="CM318" s="2"/>
      <c r="CN318" s="2"/>
      <c r="CO318" s="2"/>
      <c r="CP318" s="2"/>
      <c r="CQ318" s="2"/>
      <c r="CR318" s="2"/>
      <c r="CS318" s="2"/>
      <c r="CT318" s="2"/>
      <c r="CU318" s="2"/>
      <c r="CV318" s="2"/>
      <c r="CW318" s="2"/>
      <c r="CX318" s="2"/>
      <c r="CY318" s="2"/>
      <c r="CZ318" s="2"/>
      <c r="DA318" s="2"/>
      <c r="DB318" s="2"/>
      <c r="DC318" s="2"/>
      <c r="DD318" s="2"/>
      <c r="DE318" s="2"/>
      <c r="DF318" s="2"/>
    </row>
    <row r="319" spans="1:110" x14ac:dyDescent="0.2">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c r="AA319" s="7"/>
      <c r="AB319" s="7"/>
      <c r="AC319" s="7"/>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c r="BJ319" s="2"/>
      <c r="BK319" s="2"/>
      <c r="BL319" s="2"/>
      <c r="BM319" s="2"/>
      <c r="BN319" s="2"/>
      <c r="BO319" s="2"/>
      <c r="BP319" s="2"/>
      <c r="BQ319" s="2"/>
      <c r="BR319" s="2"/>
      <c r="BS319" s="2"/>
      <c r="BT319" s="2"/>
      <c r="BU319" s="2"/>
      <c r="BV319" s="2"/>
      <c r="BW319" s="2"/>
      <c r="BX319" s="2"/>
      <c r="BY319" s="2"/>
      <c r="BZ319" s="2"/>
      <c r="CA319" s="2"/>
      <c r="CB319" s="2"/>
      <c r="CC319" s="2"/>
      <c r="CD319" s="2"/>
      <c r="CE319" s="2"/>
      <c r="CF319" s="2"/>
      <c r="CG319" s="2"/>
      <c r="CH319" s="2"/>
      <c r="CI319" s="2"/>
      <c r="CJ319" s="2"/>
      <c r="CK319" s="2"/>
      <c r="CL319" s="2"/>
      <c r="CM319" s="2"/>
      <c r="CN319" s="2"/>
      <c r="CO319" s="2"/>
      <c r="CP319" s="2"/>
      <c r="CQ319" s="2"/>
      <c r="CR319" s="2"/>
      <c r="CS319" s="2"/>
      <c r="CT319" s="2"/>
      <c r="CU319" s="2"/>
      <c r="CV319" s="2"/>
      <c r="CW319" s="2"/>
      <c r="CX319" s="2"/>
      <c r="CY319" s="2"/>
      <c r="CZ319" s="2"/>
      <c r="DA319" s="2"/>
      <c r="DB319" s="2"/>
      <c r="DC319" s="2"/>
      <c r="DD319" s="2"/>
      <c r="DE319" s="2"/>
      <c r="DF319" s="2"/>
    </row>
    <row r="320" spans="1:110" x14ac:dyDescent="0.2">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c r="AA320" s="7"/>
      <c r="AB320" s="7"/>
      <c r="AC320" s="7"/>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c r="BJ320" s="2"/>
      <c r="BK320" s="2"/>
      <c r="BL320" s="2"/>
      <c r="BM320" s="2"/>
      <c r="BN320" s="2"/>
      <c r="BO320" s="2"/>
      <c r="BP320" s="2"/>
      <c r="BQ320" s="2"/>
      <c r="BR320" s="2"/>
      <c r="BS320" s="2"/>
      <c r="BT320" s="2"/>
      <c r="BU320" s="2"/>
      <c r="BV320" s="2"/>
      <c r="BW320" s="2"/>
      <c r="BX320" s="2"/>
      <c r="BY320" s="2"/>
      <c r="BZ320" s="2"/>
      <c r="CA320" s="2"/>
      <c r="CB320" s="2"/>
      <c r="CC320" s="2"/>
      <c r="CD320" s="2"/>
      <c r="CE320" s="2"/>
      <c r="CF320" s="2"/>
      <c r="CG320" s="2"/>
      <c r="CH320" s="2"/>
      <c r="CI320" s="2"/>
      <c r="CJ320" s="2"/>
      <c r="CK320" s="2"/>
      <c r="CL320" s="2"/>
      <c r="CM320" s="2"/>
      <c r="CN320" s="2"/>
      <c r="CO320" s="2"/>
      <c r="CP320" s="2"/>
      <c r="CQ320" s="2"/>
      <c r="CR320" s="2"/>
      <c r="CS320" s="2"/>
      <c r="CT320" s="2"/>
      <c r="CU320" s="2"/>
      <c r="CV320" s="2"/>
      <c r="CW320" s="2"/>
      <c r="CX320" s="2"/>
      <c r="CY320" s="2"/>
      <c r="CZ320" s="2"/>
      <c r="DA320" s="2"/>
      <c r="DB320" s="2"/>
      <c r="DC320" s="2"/>
      <c r="DD320" s="2"/>
      <c r="DE320" s="2"/>
      <c r="DF320" s="2"/>
    </row>
    <row r="321" spans="1:110" x14ac:dyDescent="0.2">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c r="AA321" s="7"/>
      <c r="AB321" s="7"/>
      <c r="AC321" s="7"/>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2"/>
      <c r="BJ321" s="2"/>
      <c r="BK321" s="2"/>
      <c r="BL321" s="2"/>
      <c r="BM321" s="2"/>
      <c r="BN321" s="2"/>
      <c r="BO321" s="2"/>
      <c r="BP321" s="2"/>
      <c r="BQ321" s="2"/>
      <c r="BR321" s="2"/>
      <c r="BS321" s="2"/>
      <c r="BT321" s="2"/>
      <c r="BU321" s="2"/>
      <c r="BV321" s="2"/>
      <c r="BW321" s="2"/>
      <c r="BX321" s="2"/>
      <c r="BY321" s="2"/>
      <c r="BZ321" s="2"/>
      <c r="CA321" s="2"/>
      <c r="CB321" s="2"/>
      <c r="CC321" s="2"/>
      <c r="CD321" s="2"/>
      <c r="CE321" s="2"/>
      <c r="CF321" s="2"/>
      <c r="CG321" s="2"/>
      <c r="CH321" s="2"/>
      <c r="CI321" s="2"/>
      <c r="CJ321" s="2"/>
      <c r="CK321" s="2"/>
      <c r="CL321" s="2"/>
      <c r="CM321" s="2"/>
      <c r="CN321" s="2"/>
      <c r="CO321" s="2"/>
      <c r="CP321" s="2"/>
      <c r="CQ321" s="2"/>
      <c r="CR321" s="2"/>
      <c r="CS321" s="2"/>
      <c r="CT321" s="2"/>
      <c r="CU321" s="2"/>
      <c r="CV321" s="2"/>
      <c r="CW321" s="2"/>
      <c r="CX321" s="2"/>
      <c r="CY321" s="2"/>
      <c r="CZ321" s="2"/>
      <c r="DA321" s="2"/>
      <c r="DB321" s="2"/>
      <c r="DC321" s="2"/>
      <c r="DD321" s="2"/>
      <c r="DE321" s="2"/>
      <c r="DF321" s="2"/>
    </row>
    <row r="322" spans="1:110" x14ac:dyDescent="0.2">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c r="AA322" s="7"/>
      <c r="AB322" s="7"/>
      <c r="AC322" s="7"/>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c r="BJ322" s="2"/>
      <c r="BK322" s="2"/>
      <c r="BL322" s="2"/>
      <c r="BM322" s="2"/>
      <c r="BN322" s="2"/>
      <c r="BO322" s="2"/>
      <c r="BP322" s="2"/>
      <c r="BQ322" s="2"/>
      <c r="BR322" s="2"/>
      <c r="BS322" s="2"/>
      <c r="BT322" s="2"/>
      <c r="BU322" s="2"/>
      <c r="BV322" s="2"/>
      <c r="BW322" s="2"/>
      <c r="BX322" s="2"/>
      <c r="BY322" s="2"/>
      <c r="BZ322" s="2"/>
      <c r="CA322" s="2"/>
      <c r="CB322" s="2"/>
      <c r="CC322" s="2"/>
      <c r="CD322" s="2"/>
      <c r="CE322" s="2"/>
      <c r="CF322" s="2"/>
      <c r="CG322" s="2"/>
      <c r="CH322" s="2"/>
      <c r="CI322" s="2"/>
      <c r="CJ322" s="2"/>
      <c r="CK322" s="2"/>
      <c r="CL322" s="2"/>
      <c r="CM322" s="2"/>
      <c r="CN322" s="2"/>
      <c r="CO322" s="2"/>
      <c r="CP322" s="2"/>
      <c r="CQ322" s="2"/>
      <c r="CR322" s="2"/>
      <c r="CS322" s="2"/>
      <c r="CT322" s="2"/>
      <c r="CU322" s="2"/>
      <c r="CV322" s="2"/>
      <c r="CW322" s="2"/>
      <c r="CX322" s="2"/>
      <c r="CY322" s="2"/>
      <c r="CZ322" s="2"/>
      <c r="DA322" s="2"/>
      <c r="DB322" s="2"/>
      <c r="DC322" s="2"/>
      <c r="DD322" s="2"/>
      <c r="DE322" s="2"/>
      <c r="DF322" s="2"/>
    </row>
    <row r="323" spans="1:110" x14ac:dyDescent="0.2">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c r="AA323" s="7"/>
      <c r="AB323" s="7"/>
      <c r="AC323" s="7"/>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c r="BP323" s="2"/>
      <c r="BQ323" s="2"/>
      <c r="BR323" s="2"/>
      <c r="BS323" s="2"/>
      <c r="BT323" s="2"/>
      <c r="BU323" s="2"/>
      <c r="BV323" s="2"/>
      <c r="BW323" s="2"/>
      <c r="BX323" s="2"/>
      <c r="BY323" s="2"/>
      <c r="BZ323" s="2"/>
      <c r="CA323" s="2"/>
      <c r="CB323" s="2"/>
      <c r="CC323" s="2"/>
      <c r="CD323" s="2"/>
      <c r="CE323" s="2"/>
      <c r="CF323" s="2"/>
      <c r="CG323" s="2"/>
      <c r="CH323" s="2"/>
      <c r="CI323" s="2"/>
      <c r="CJ323" s="2"/>
      <c r="CK323" s="2"/>
      <c r="CL323" s="2"/>
      <c r="CM323" s="2"/>
      <c r="CN323" s="2"/>
      <c r="CO323" s="2"/>
      <c r="CP323" s="2"/>
      <c r="CQ323" s="2"/>
      <c r="CR323" s="2"/>
      <c r="CS323" s="2"/>
      <c r="CT323" s="2"/>
      <c r="CU323" s="2"/>
      <c r="CV323" s="2"/>
      <c r="CW323" s="2"/>
      <c r="CX323" s="2"/>
      <c r="CY323" s="2"/>
      <c r="CZ323" s="2"/>
      <c r="DA323" s="2"/>
      <c r="DB323" s="2"/>
      <c r="DC323" s="2"/>
      <c r="DD323" s="2"/>
      <c r="DE323" s="2"/>
      <c r="DF323" s="2"/>
    </row>
    <row r="324" spans="1:110" x14ac:dyDescent="0.2">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c r="AA324" s="7"/>
      <c r="AB324" s="7"/>
      <c r="AC324" s="7"/>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c r="BJ324" s="2"/>
      <c r="BK324" s="2"/>
      <c r="BL324" s="2"/>
      <c r="BM324" s="2"/>
      <c r="BN324" s="2"/>
      <c r="BO324" s="2"/>
      <c r="BP324" s="2"/>
      <c r="BQ324" s="2"/>
      <c r="BR324" s="2"/>
      <c r="BS324" s="2"/>
      <c r="BT324" s="2"/>
      <c r="BU324" s="2"/>
      <c r="BV324" s="2"/>
      <c r="BW324" s="2"/>
      <c r="BX324" s="2"/>
      <c r="BY324" s="2"/>
      <c r="BZ324" s="2"/>
      <c r="CA324" s="2"/>
      <c r="CB324" s="2"/>
      <c r="CC324" s="2"/>
      <c r="CD324" s="2"/>
      <c r="CE324" s="2"/>
      <c r="CF324" s="2"/>
      <c r="CG324" s="2"/>
      <c r="CH324" s="2"/>
      <c r="CI324" s="2"/>
      <c r="CJ324" s="2"/>
      <c r="CK324" s="2"/>
      <c r="CL324" s="2"/>
      <c r="CM324" s="2"/>
      <c r="CN324" s="2"/>
      <c r="CO324" s="2"/>
      <c r="CP324" s="2"/>
      <c r="CQ324" s="2"/>
      <c r="CR324" s="2"/>
      <c r="CS324" s="2"/>
      <c r="CT324" s="2"/>
      <c r="CU324" s="2"/>
      <c r="CV324" s="2"/>
      <c r="CW324" s="2"/>
      <c r="CX324" s="2"/>
      <c r="CY324" s="2"/>
      <c r="CZ324" s="2"/>
      <c r="DA324" s="2"/>
      <c r="DB324" s="2"/>
      <c r="DC324" s="2"/>
      <c r="DD324" s="2"/>
      <c r="DE324" s="2"/>
      <c r="DF324" s="2"/>
    </row>
    <row r="325" spans="1:110" x14ac:dyDescent="0.2">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c r="AA325" s="7"/>
      <c r="AB325" s="7"/>
      <c r="AC325" s="7"/>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c r="BJ325" s="2"/>
      <c r="BK325" s="2"/>
      <c r="BL325" s="2"/>
      <c r="BM325" s="2"/>
      <c r="BN325" s="2"/>
      <c r="BO325" s="2"/>
      <c r="BP325" s="2"/>
      <c r="BQ325" s="2"/>
      <c r="BR325" s="2"/>
      <c r="BS325" s="2"/>
      <c r="BT325" s="2"/>
      <c r="BU325" s="2"/>
      <c r="BV325" s="2"/>
      <c r="BW325" s="2"/>
      <c r="BX325" s="2"/>
      <c r="BY325" s="2"/>
      <c r="BZ325" s="2"/>
      <c r="CA325" s="2"/>
      <c r="CB325" s="2"/>
      <c r="CC325" s="2"/>
      <c r="CD325" s="2"/>
      <c r="CE325" s="2"/>
      <c r="CF325" s="2"/>
      <c r="CG325" s="2"/>
      <c r="CH325" s="2"/>
      <c r="CI325" s="2"/>
      <c r="CJ325" s="2"/>
      <c r="CK325" s="2"/>
      <c r="CL325" s="2"/>
      <c r="CM325" s="2"/>
      <c r="CN325" s="2"/>
      <c r="CO325" s="2"/>
      <c r="CP325" s="2"/>
      <c r="CQ325" s="2"/>
      <c r="CR325" s="2"/>
      <c r="CS325" s="2"/>
      <c r="CT325" s="2"/>
      <c r="CU325" s="2"/>
      <c r="CV325" s="2"/>
      <c r="CW325" s="2"/>
      <c r="CX325" s="2"/>
      <c r="CY325" s="2"/>
      <c r="CZ325" s="2"/>
      <c r="DA325" s="2"/>
      <c r="DB325" s="2"/>
      <c r="DC325" s="2"/>
      <c r="DD325" s="2"/>
      <c r="DE325" s="2"/>
      <c r="DF325" s="2"/>
    </row>
    <row r="326" spans="1:110" x14ac:dyDescent="0.2">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c r="AA326" s="7"/>
      <c r="AB326" s="7"/>
      <c r="AC326" s="7"/>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2"/>
      <c r="BJ326" s="2"/>
      <c r="BK326" s="2"/>
      <c r="BL326" s="2"/>
      <c r="BM326" s="2"/>
      <c r="BN326" s="2"/>
      <c r="BO326" s="2"/>
      <c r="BP326" s="2"/>
      <c r="BQ326" s="2"/>
      <c r="BR326" s="2"/>
      <c r="BS326" s="2"/>
      <c r="BT326" s="2"/>
      <c r="BU326" s="2"/>
      <c r="BV326" s="2"/>
      <c r="BW326" s="2"/>
      <c r="BX326" s="2"/>
      <c r="BY326" s="2"/>
      <c r="BZ326" s="2"/>
      <c r="CA326" s="2"/>
      <c r="CB326" s="2"/>
      <c r="CC326" s="2"/>
      <c r="CD326" s="2"/>
      <c r="CE326" s="2"/>
      <c r="CF326" s="2"/>
      <c r="CG326" s="2"/>
      <c r="CH326" s="2"/>
      <c r="CI326" s="2"/>
      <c r="CJ326" s="2"/>
      <c r="CK326" s="2"/>
      <c r="CL326" s="2"/>
      <c r="CM326" s="2"/>
      <c r="CN326" s="2"/>
      <c r="CO326" s="2"/>
      <c r="CP326" s="2"/>
      <c r="CQ326" s="2"/>
      <c r="CR326" s="2"/>
      <c r="CS326" s="2"/>
      <c r="CT326" s="2"/>
      <c r="CU326" s="2"/>
      <c r="CV326" s="2"/>
      <c r="CW326" s="2"/>
      <c r="CX326" s="2"/>
      <c r="CY326" s="2"/>
      <c r="CZ326" s="2"/>
      <c r="DA326" s="2"/>
      <c r="DB326" s="2"/>
      <c r="DC326" s="2"/>
      <c r="DD326" s="2"/>
      <c r="DE326" s="2"/>
      <c r="DF326" s="2"/>
    </row>
    <row r="327" spans="1:110" x14ac:dyDescent="0.2">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c r="AA327" s="7"/>
      <c r="AB327" s="7"/>
      <c r="AC327" s="7"/>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2"/>
      <c r="BJ327" s="2"/>
      <c r="BK327" s="2"/>
      <c r="BL327" s="2"/>
      <c r="BM327" s="2"/>
      <c r="BN327" s="2"/>
      <c r="BO327" s="2"/>
      <c r="BP327" s="2"/>
      <c r="BQ327" s="2"/>
      <c r="BR327" s="2"/>
      <c r="BS327" s="2"/>
      <c r="BT327" s="2"/>
      <c r="BU327" s="2"/>
      <c r="BV327" s="2"/>
      <c r="BW327" s="2"/>
      <c r="BX327" s="2"/>
      <c r="BY327" s="2"/>
      <c r="BZ327" s="2"/>
      <c r="CA327" s="2"/>
      <c r="CB327" s="2"/>
      <c r="CC327" s="2"/>
      <c r="CD327" s="2"/>
      <c r="CE327" s="2"/>
      <c r="CF327" s="2"/>
      <c r="CG327" s="2"/>
      <c r="CH327" s="2"/>
      <c r="CI327" s="2"/>
      <c r="CJ327" s="2"/>
      <c r="CK327" s="2"/>
      <c r="CL327" s="2"/>
      <c r="CM327" s="2"/>
      <c r="CN327" s="2"/>
      <c r="CO327" s="2"/>
      <c r="CP327" s="2"/>
      <c r="CQ327" s="2"/>
      <c r="CR327" s="2"/>
      <c r="CS327" s="2"/>
      <c r="CT327" s="2"/>
      <c r="CU327" s="2"/>
      <c r="CV327" s="2"/>
      <c r="CW327" s="2"/>
      <c r="CX327" s="2"/>
      <c r="CY327" s="2"/>
      <c r="CZ327" s="2"/>
      <c r="DA327" s="2"/>
      <c r="DB327" s="2"/>
      <c r="DC327" s="2"/>
      <c r="DD327" s="2"/>
      <c r="DE327" s="2"/>
      <c r="DF327" s="2"/>
    </row>
    <row r="328" spans="1:110" x14ac:dyDescent="0.2">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c r="AA328" s="7"/>
      <c r="AB328" s="7"/>
      <c r="AC328" s="7"/>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2"/>
      <c r="BJ328" s="2"/>
      <c r="BK328" s="2"/>
      <c r="BL328" s="2"/>
      <c r="BM328" s="2"/>
      <c r="BN328" s="2"/>
      <c r="BO328" s="2"/>
      <c r="BP328" s="2"/>
      <c r="BQ328" s="2"/>
      <c r="BR328" s="2"/>
      <c r="BS328" s="2"/>
      <c r="BT328" s="2"/>
      <c r="BU328" s="2"/>
      <c r="BV328" s="2"/>
      <c r="BW328" s="2"/>
      <c r="BX328" s="2"/>
      <c r="BY328" s="2"/>
      <c r="BZ328" s="2"/>
      <c r="CA328" s="2"/>
      <c r="CB328" s="2"/>
      <c r="CC328" s="2"/>
      <c r="CD328" s="2"/>
      <c r="CE328" s="2"/>
      <c r="CF328" s="2"/>
      <c r="CG328" s="2"/>
      <c r="CH328" s="2"/>
      <c r="CI328" s="2"/>
      <c r="CJ328" s="2"/>
      <c r="CK328" s="2"/>
      <c r="CL328" s="2"/>
      <c r="CM328" s="2"/>
      <c r="CN328" s="2"/>
      <c r="CO328" s="2"/>
      <c r="CP328" s="2"/>
      <c r="CQ328" s="2"/>
      <c r="CR328" s="2"/>
      <c r="CS328" s="2"/>
      <c r="CT328" s="2"/>
      <c r="CU328" s="2"/>
      <c r="CV328" s="2"/>
      <c r="CW328" s="2"/>
      <c r="CX328" s="2"/>
      <c r="CY328" s="2"/>
      <c r="CZ328" s="2"/>
      <c r="DA328" s="2"/>
      <c r="DB328" s="2"/>
      <c r="DC328" s="2"/>
      <c r="DD328" s="2"/>
      <c r="DE328" s="2"/>
      <c r="DF328" s="2"/>
    </row>
    <row r="329" spans="1:110" x14ac:dyDescent="0.2">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c r="AA329" s="7"/>
      <c r="AB329" s="7"/>
      <c r="AC329" s="7"/>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c r="BH329" s="2"/>
      <c r="BI329" s="2"/>
      <c r="BJ329" s="2"/>
      <c r="BK329" s="2"/>
      <c r="BL329" s="2"/>
      <c r="BM329" s="2"/>
      <c r="BN329" s="2"/>
      <c r="BO329" s="2"/>
      <c r="BP329" s="2"/>
      <c r="BQ329" s="2"/>
      <c r="BR329" s="2"/>
      <c r="BS329" s="2"/>
      <c r="BT329" s="2"/>
      <c r="BU329" s="2"/>
      <c r="BV329" s="2"/>
      <c r="BW329" s="2"/>
      <c r="BX329" s="2"/>
      <c r="BY329" s="2"/>
      <c r="BZ329" s="2"/>
      <c r="CA329" s="2"/>
      <c r="CB329" s="2"/>
      <c r="CC329" s="2"/>
      <c r="CD329" s="2"/>
      <c r="CE329" s="2"/>
      <c r="CF329" s="2"/>
      <c r="CG329" s="2"/>
      <c r="CH329" s="2"/>
      <c r="CI329" s="2"/>
      <c r="CJ329" s="2"/>
      <c r="CK329" s="2"/>
      <c r="CL329" s="2"/>
      <c r="CM329" s="2"/>
      <c r="CN329" s="2"/>
      <c r="CO329" s="2"/>
      <c r="CP329" s="2"/>
      <c r="CQ329" s="2"/>
      <c r="CR329" s="2"/>
      <c r="CS329" s="2"/>
      <c r="CT329" s="2"/>
      <c r="CU329" s="2"/>
      <c r="CV329" s="2"/>
      <c r="CW329" s="2"/>
      <c r="CX329" s="2"/>
      <c r="CY329" s="2"/>
      <c r="CZ329" s="2"/>
      <c r="DA329" s="2"/>
      <c r="DB329" s="2"/>
      <c r="DC329" s="2"/>
      <c r="DD329" s="2"/>
      <c r="DE329" s="2"/>
      <c r="DF329" s="2"/>
    </row>
    <row r="330" spans="1:110" x14ac:dyDescent="0.2">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c r="AA330" s="7"/>
      <c r="AB330" s="7"/>
      <c r="AC330" s="7"/>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c r="BH330" s="2"/>
      <c r="BI330" s="2"/>
      <c r="BJ330" s="2"/>
      <c r="BK330" s="2"/>
      <c r="BL330" s="2"/>
      <c r="BM330" s="2"/>
      <c r="BN330" s="2"/>
      <c r="BO330" s="2"/>
      <c r="BP330" s="2"/>
      <c r="BQ330" s="2"/>
      <c r="BR330" s="2"/>
      <c r="BS330" s="2"/>
      <c r="BT330" s="2"/>
      <c r="BU330" s="2"/>
      <c r="BV330" s="2"/>
      <c r="BW330" s="2"/>
      <c r="BX330" s="2"/>
      <c r="BY330" s="2"/>
      <c r="BZ330" s="2"/>
      <c r="CA330" s="2"/>
      <c r="CB330" s="2"/>
      <c r="CC330" s="2"/>
      <c r="CD330" s="2"/>
      <c r="CE330" s="2"/>
      <c r="CF330" s="2"/>
      <c r="CG330" s="2"/>
      <c r="CH330" s="2"/>
      <c r="CI330" s="2"/>
      <c r="CJ330" s="2"/>
      <c r="CK330" s="2"/>
      <c r="CL330" s="2"/>
      <c r="CM330" s="2"/>
      <c r="CN330" s="2"/>
      <c r="CO330" s="2"/>
      <c r="CP330" s="2"/>
      <c r="CQ330" s="2"/>
      <c r="CR330" s="2"/>
      <c r="CS330" s="2"/>
      <c r="CT330" s="2"/>
      <c r="CU330" s="2"/>
      <c r="CV330" s="2"/>
      <c r="CW330" s="2"/>
      <c r="CX330" s="2"/>
      <c r="CY330" s="2"/>
      <c r="CZ330" s="2"/>
      <c r="DA330" s="2"/>
      <c r="DB330" s="2"/>
      <c r="DC330" s="2"/>
      <c r="DD330" s="2"/>
      <c r="DE330" s="2"/>
      <c r="DF330" s="2"/>
    </row>
    <row r="331" spans="1:110" x14ac:dyDescent="0.2">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c r="AA331" s="7"/>
      <c r="AB331" s="7"/>
      <c r="AC331" s="7"/>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2"/>
      <c r="BJ331" s="2"/>
      <c r="BK331" s="2"/>
      <c r="BL331" s="2"/>
      <c r="BM331" s="2"/>
      <c r="BN331" s="2"/>
      <c r="BO331" s="2"/>
      <c r="BP331" s="2"/>
      <c r="BQ331" s="2"/>
      <c r="BR331" s="2"/>
      <c r="BS331" s="2"/>
      <c r="BT331" s="2"/>
      <c r="BU331" s="2"/>
      <c r="BV331" s="2"/>
      <c r="BW331" s="2"/>
      <c r="BX331" s="2"/>
      <c r="BY331" s="2"/>
      <c r="BZ331" s="2"/>
      <c r="CA331" s="2"/>
      <c r="CB331" s="2"/>
      <c r="CC331" s="2"/>
      <c r="CD331" s="2"/>
      <c r="CE331" s="2"/>
      <c r="CF331" s="2"/>
      <c r="CG331" s="2"/>
      <c r="CH331" s="2"/>
      <c r="CI331" s="2"/>
      <c r="CJ331" s="2"/>
      <c r="CK331" s="2"/>
      <c r="CL331" s="2"/>
      <c r="CM331" s="2"/>
      <c r="CN331" s="2"/>
      <c r="CO331" s="2"/>
      <c r="CP331" s="2"/>
      <c r="CQ331" s="2"/>
      <c r="CR331" s="2"/>
      <c r="CS331" s="2"/>
      <c r="CT331" s="2"/>
      <c r="CU331" s="2"/>
      <c r="CV331" s="2"/>
      <c r="CW331" s="2"/>
      <c r="CX331" s="2"/>
      <c r="CY331" s="2"/>
      <c r="CZ331" s="2"/>
      <c r="DA331" s="2"/>
      <c r="DB331" s="2"/>
      <c r="DC331" s="2"/>
      <c r="DD331" s="2"/>
      <c r="DE331" s="2"/>
      <c r="DF331" s="2"/>
    </row>
    <row r="332" spans="1:110" x14ac:dyDescent="0.2">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c r="AA332" s="7"/>
      <c r="AB332" s="7"/>
      <c r="AC332" s="7"/>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2"/>
      <c r="BJ332" s="2"/>
      <c r="BK332" s="2"/>
      <c r="BL332" s="2"/>
      <c r="BM332" s="2"/>
      <c r="BN332" s="2"/>
      <c r="BO332" s="2"/>
      <c r="BP332" s="2"/>
      <c r="BQ332" s="2"/>
      <c r="BR332" s="2"/>
      <c r="BS332" s="2"/>
      <c r="BT332" s="2"/>
      <c r="BU332" s="2"/>
      <c r="BV332" s="2"/>
      <c r="BW332" s="2"/>
      <c r="BX332" s="2"/>
      <c r="BY332" s="2"/>
      <c r="BZ332" s="2"/>
      <c r="CA332" s="2"/>
      <c r="CB332" s="2"/>
      <c r="CC332" s="2"/>
      <c r="CD332" s="2"/>
      <c r="CE332" s="2"/>
      <c r="CF332" s="2"/>
      <c r="CG332" s="2"/>
      <c r="CH332" s="2"/>
      <c r="CI332" s="2"/>
      <c r="CJ332" s="2"/>
      <c r="CK332" s="2"/>
      <c r="CL332" s="2"/>
      <c r="CM332" s="2"/>
      <c r="CN332" s="2"/>
      <c r="CO332" s="2"/>
      <c r="CP332" s="2"/>
      <c r="CQ332" s="2"/>
      <c r="CR332" s="2"/>
      <c r="CS332" s="2"/>
      <c r="CT332" s="2"/>
      <c r="CU332" s="2"/>
      <c r="CV332" s="2"/>
      <c r="CW332" s="2"/>
      <c r="CX332" s="2"/>
      <c r="CY332" s="2"/>
      <c r="CZ332" s="2"/>
      <c r="DA332" s="2"/>
      <c r="DB332" s="2"/>
      <c r="DC332" s="2"/>
      <c r="DD332" s="2"/>
      <c r="DE332" s="2"/>
      <c r="DF332" s="2"/>
    </row>
    <row r="333" spans="1:110" x14ac:dyDescent="0.2">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c r="AA333" s="7"/>
      <c r="AB333" s="7"/>
      <c r="AC333" s="7"/>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c r="BH333" s="2"/>
      <c r="BI333" s="2"/>
      <c r="BJ333" s="2"/>
      <c r="BK333" s="2"/>
      <c r="BL333" s="2"/>
      <c r="BM333" s="2"/>
      <c r="BN333" s="2"/>
      <c r="BO333" s="2"/>
      <c r="BP333" s="2"/>
      <c r="BQ333" s="2"/>
      <c r="BR333" s="2"/>
      <c r="BS333" s="2"/>
      <c r="BT333" s="2"/>
      <c r="BU333" s="2"/>
      <c r="BV333" s="2"/>
      <c r="BW333" s="2"/>
      <c r="BX333" s="2"/>
      <c r="BY333" s="2"/>
      <c r="BZ333" s="2"/>
      <c r="CA333" s="2"/>
      <c r="CB333" s="2"/>
      <c r="CC333" s="2"/>
      <c r="CD333" s="2"/>
      <c r="CE333" s="2"/>
      <c r="CF333" s="2"/>
      <c r="CG333" s="2"/>
      <c r="CH333" s="2"/>
      <c r="CI333" s="2"/>
      <c r="CJ333" s="2"/>
      <c r="CK333" s="2"/>
      <c r="CL333" s="2"/>
      <c r="CM333" s="2"/>
      <c r="CN333" s="2"/>
      <c r="CO333" s="2"/>
      <c r="CP333" s="2"/>
      <c r="CQ333" s="2"/>
      <c r="CR333" s="2"/>
      <c r="CS333" s="2"/>
      <c r="CT333" s="2"/>
      <c r="CU333" s="2"/>
      <c r="CV333" s="2"/>
      <c r="CW333" s="2"/>
      <c r="CX333" s="2"/>
      <c r="CY333" s="2"/>
      <c r="CZ333" s="2"/>
      <c r="DA333" s="2"/>
      <c r="DB333" s="2"/>
      <c r="DC333" s="2"/>
      <c r="DD333" s="2"/>
      <c r="DE333" s="2"/>
      <c r="DF333" s="2"/>
    </row>
    <row r="334" spans="1:110" x14ac:dyDescent="0.2">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c r="AA334" s="7"/>
      <c r="AB334" s="7"/>
      <c r="AC334" s="7"/>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c r="BH334" s="2"/>
      <c r="BI334" s="2"/>
      <c r="BJ334" s="2"/>
      <c r="BK334" s="2"/>
      <c r="BL334" s="2"/>
      <c r="BM334" s="2"/>
      <c r="BN334" s="2"/>
      <c r="BO334" s="2"/>
      <c r="BP334" s="2"/>
      <c r="BQ334" s="2"/>
      <c r="BR334" s="2"/>
      <c r="BS334" s="2"/>
      <c r="BT334" s="2"/>
      <c r="BU334" s="2"/>
      <c r="BV334" s="2"/>
      <c r="BW334" s="2"/>
      <c r="BX334" s="2"/>
      <c r="BY334" s="2"/>
      <c r="BZ334" s="2"/>
      <c r="CA334" s="2"/>
      <c r="CB334" s="2"/>
      <c r="CC334" s="2"/>
      <c r="CD334" s="2"/>
      <c r="CE334" s="2"/>
      <c r="CF334" s="2"/>
      <c r="CG334" s="2"/>
      <c r="CH334" s="2"/>
      <c r="CI334" s="2"/>
      <c r="CJ334" s="2"/>
      <c r="CK334" s="2"/>
      <c r="CL334" s="2"/>
      <c r="CM334" s="2"/>
      <c r="CN334" s="2"/>
      <c r="CO334" s="2"/>
      <c r="CP334" s="2"/>
      <c r="CQ334" s="2"/>
      <c r="CR334" s="2"/>
      <c r="CS334" s="2"/>
      <c r="CT334" s="2"/>
      <c r="CU334" s="2"/>
      <c r="CV334" s="2"/>
      <c r="CW334" s="2"/>
      <c r="CX334" s="2"/>
      <c r="CY334" s="2"/>
      <c r="CZ334" s="2"/>
      <c r="DA334" s="2"/>
      <c r="DB334" s="2"/>
      <c r="DC334" s="2"/>
      <c r="DD334" s="2"/>
      <c r="DE334" s="2"/>
      <c r="DF334" s="2"/>
    </row>
    <row r="335" spans="1:110" x14ac:dyDescent="0.2">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c r="AA335" s="7"/>
      <c r="AB335" s="7"/>
      <c r="AC335" s="7"/>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2"/>
      <c r="BJ335" s="2"/>
      <c r="BK335" s="2"/>
      <c r="BL335" s="2"/>
      <c r="BM335" s="2"/>
      <c r="BN335" s="2"/>
      <c r="BO335" s="2"/>
      <c r="BP335" s="2"/>
      <c r="BQ335" s="2"/>
      <c r="BR335" s="2"/>
      <c r="BS335" s="2"/>
      <c r="BT335" s="2"/>
      <c r="BU335" s="2"/>
      <c r="BV335" s="2"/>
      <c r="BW335" s="2"/>
      <c r="BX335" s="2"/>
      <c r="BY335" s="2"/>
      <c r="BZ335" s="2"/>
      <c r="CA335" s="2"/>
      <c r="CB335" s="2"/>
      <c r="CC335" s="2"/>
      <c r="CD335" s="2"/>
      <c r="CE335" s="2"/>
      <c r="CF335" s="2"/>
      <c r="CG335" s="2"/>
      <c r="CH335" s="2"/>
      <c r="CI335" s="2"/>
      <c r="CJ335" s="2"/>
      <c r="CK335" s="2"/>
      <c r="CL335" s="2"/>
      <c r="CM335" s="2"/>
      <c r="CN335" s="2"/>
      <c r="CO335" s="2"/>
      <c r="CP335" s="2"/>
      <c r="CQ335" s="2"/>
      <c r="CR335" s="2"/>
      <c r="CS335" s="2"/>
      <c r="CT335" s="2"/>
      <c r="CU335" s="2"/>
      <c r="CV335" s="2"/>
      <c r="CW335" s="2"/>
      <c r="CX335" s="2"/>
      <c r="CY335" s="2"/>
      <c r="CZ335" s="2"/>
      <c r="DA335" s="2"/>
      <c r="DB335" s="2"/>
      <c r="DC335" s="2"/>
      <c r="DD335" s="2"/>
      <c r="DE335" s="2"/>
      <c r="DF335" s="2"/>
    </row>
    <row r="336" spans="1:110" x14ac:dyDescent="0.2">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c r="AA336" s="7"/>
      <c r="AB336" s="7"/>
      <c r="AC336" s="7"/>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2"/>
      <c r="BJ336" s="2"/>
      <c r="BK336" s="2"/>
      <c r="BL336" s="2"/>
      <c r="BM336" s="2"/>
      <c r="BN336" s="2"/>
      <c r="BO336" s="2"/>
      <c r="BP336" s="2"/>
      <c r="BQ336" s="2"/>
      <c r="BR336" s="2"/>
      <c r="BS336" s="2"/>
      <c r="BT336" s="2"/>
      <c r="BU336" s="2"/>
      <c r="BV336" s="2"/>
      <c r="BW336" s="2"/>
      <c r="BX336" s="2"/>
      <c r="BY336" s="2"/>
      <c r="BZ336" s="2"/>
      <c r="CA336" s="2"/>
      <c r="CB336" s="2"/>
      <c r="CC336" s="2"/>
      <c r="CD336" s="2"/>
      <c r="CE336" s="2"/>
      <c r="CF336" s="2"/>
      <c r="CG336" s="2"/>
      <c r="CH336" s="2"/>
      <c r="CI336" s="2"/>
      <c r="CJ336" s="2"/>
      <c r="CK336" s="2"/>
      <c r="CL336" s="2"/>
      <c r="CM336" s="2"/>
      <c r="CN336" s="2"/>
      <c r="CO336" s="2"/>
      <c r="CP336" s="2"/>
      <c r="CQ336" s="2"/>
      <c r="CR336" s="2"/>
      <c r="CS336" s="2"/>
      <c r="CT336" s="2"/>
      <c r="CU336" s="2"/>
      <c r="CV336" s="2"/>
      <c r="CW336" s="2"/>
      <c r="CX336" s="2"/>
      <c r="CY336" s="2"/>
      <c r="CZ336" s="2"/>
      <c r="DA336" s="2"/>
      <c r="DB336" s="2"/>
      <c r="DC336" s="2"/>
      <c r="DD336" s="2"/>
      <c r="DE336" s="2"/>
      <c r="DF336" s="2"/>
    </row>
    <row r="337" spans="1:110" x14ac:dyDescent="0.2">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c r="AA337" s="7"/>
      <c r="AB337" s="7"/>
      <c r="AC337" s="7"/>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2"/>
      <c r="BJ337" s="2"/>
      <c r="BK337" s="2"/>
      <c r="BL337" s="2"/>
      <c r="BM337" s="2"/>
      <c r="BN337" s="2"/>
      <c r="BO337" s="2"/>
      <c r="BP337" s="2"/>
      <c r="BQ337" s="2"/>
      <c r="BR337" s="2"/>
      <c r="BS337" s="2"/>
      <c r="BT337" s="2"/>
      <c r="BU337" s="2"/>
      <c r="BV337" s="2"/>
      <c r="BW337" s="2"/>
      <c r="BX337" s="2"/>
      <c r="BY337" s="2"/>
      <c r="BZ337" s="2"/>
      <c r="CA337" s="2"/>
      <c r="CB337" s="2"/>
      <c r="CC337" s="2"/>
      <c r="CD337" s="2"/>
      <c r="CE337" s="2"/>
      <c r="CF337" s="2"/>
      <c r="CG337" s="2"/>
      <c r="CH337" s="2"/>
      <c r="CI337" s="2"/>
      <c r="CJ337" s="2"/>
      <c r="CK337" s="2"/>
      <c r="CL337" s="2"/>
      <c r="CM337" s="2"/>
      <c r="CN337" s="2"/>
      <c r="CO337" s="2"/>
      <c r="CP337" s="2"/>
      <c r="CQ337" s="2"/>
      <c r="CR337" s="2"/>
      <c r="CS337" s="2"/>
      <c r="CT337" s="2"/>
      <c r="CU337" s="2"/>
      <c r="CV337" s="2"/>
      <c r="CW337" s="2"/>
      <c r="CX337" s="2"/>
      <c r="CY337" s="2"/>
      <c r="CZ337" s="2"/>
      <c r="DA337" s="2"/>
      <c r="DB337" s="2"/>
      <c r="DC337" s="2"/>
      <c r="DD337" s="2"/>
      <c r="DE337" s="2"/>
      <c r="DF337" s="2"/>
    </row>
    <row r="338" spans="1:110" x14ac:dyDescent="0.2">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c r="AA338" s="7"/>
      <c r="AB338" s="7"/>
      <c r="AC338" s="7"/>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2"/>
      <c r="BJ338" s="2"/>
      <c r="BK338" s="2"/>
      <c r="BL338" s="2"/>
      <c r="BM338" s="2"/>
      <c r="BN338" s="2"/>
      <c r="BO338" s="2"/>
      <c r="BP338" s="2"/>
      <c r="BQ338" s="2"/>
      <c r="BR338" s="2"/>
      <c r="BS338" s="2"/>
      <c r="BT338" s="2"/>
      <c r="BU338" s="2"/>
      <c r="BV338" s="2"/>
      <c r="BW338" s="2"/>
      <c r="BX338" s="2"/>
      <c r="BY338" s="2"/>
      <c r="BZ338" s="2"/>
      <c r="CA338" s="2"/>
      <c r="CB338" s="2"/>
      <c r="CC338" s="2"/>
      <c r="CD338" s="2"/>
      <c r="CE338" s="2"/>
      <c r="CF338" s="2"/>
      <c r="CG338" s="2"/>
      <c r="CH338" s="2"/>
      <c r="CI338" s="2"/>
      <c r="CJ338" s="2"/>
      <c r="CK338" s="2"/>
      <c r="CL338" s="2"/>
      <c r="CM338" s="2"/>
      <c r="CN338" s="2"/>
      <c r="CO338" s="2"/>
      <c r="CP338" s="2"/>
      <c r="CQ338" s="2"/>
      <c r="CR338" s="2"/>
      <c r="CS338" s="2"/>
      <c r="CT338" s="2"/>
      <c r="CU338" s="2"/>
      <c r="CV338" s="2"/>
      <c r="CW338" s="2"/>
      <c r="CX338" s="2"/>
      <c r="CY338" s="2"/>
      <c r="CZ338" s="2"/>
      <c r="DA338" s="2"/>
      <c r="DB338" s="2"/>
      <c r="DC338" s="2"/>
      <c r="DD338" s="2"/>
      <c r="DE338" s="2"/>
      <c r="DF338" s="2"/>
    </row>
    <row r="339" spans="1:110" x14ac:dyDescent="0.2">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c r="AA339" s="7"/>
      <c r="AB339" s="7"/>
      <c r="AC339" s="7"/>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c r="BH339" s="2"/>
      <c r="BI339" s="2"/>
      <c r="BJ339" s="2"/>
      <c r="BK339" s="2"/>
      <c r="BL339" s="2"/>
      <c r="BM339" s="2"/>
      <c r="BN339" s="2"/>
      <c r="BO339" s="2"/>
      <c r="BP339" s="2"/>
      <c r="BQ339" s="2"/>
      <c r="BR339" s="2"/>
      <c r="BS339" s="2"/>
      <c r="BT339" s="2"/>
      <c r="BU339" s="2"/>
      <c r="BV339" s="2"/>
      <c r="BW339" s="2"/>
      <c r="BX339" s="2"/>
      <c r="BY339" s="2"/>
      <c r="BZ339" s="2"/>
      <c r="CA339" s="2"/>
      <c r="CB339" s="2"/>
      <c r="CC339" s="2"/>
      <c r="CD339" s="2"/>
      <c r="CE339" s="2"/>
      <c r="CF339" s="2"/>
      <c r="CG339" s="2"/>
      <c r="CH339" s="2"/>
      <c r="CI339" s="2"/>
      <c r="CJ339" s="2"/>
      <c r="CK339" s="2"/>
      <c r="CL339" s="2"/>
      <c r="CM339" s="2"/>
      <c r="CN339" s="2"/>
      <c r="CO339" s="2"/>
      <c r="CP339" s="2"/>
      <c r="CQ339" s="2"/>
      <c r="CR339" s="2"/>
      <c r="CS339" s="2"/>
      <c r="CT339" s="2"/>
      <c r="CU339" s="2"/>
      <c r="CV339" s="2"/>
      <c r="CW339" s="2"/>
      <c r="CX339" s="2"/>
      <c r="CY339" s="2"/>
      <c r="CZ339" s="2"/>
      <c r="DA339" s="2"/>
      <c r="DB339" s="2"/>
      <c r="DC339" s="2"/>
      <c r="DD339" s="2"/>
      <c r="DE339" s="2"/>
      <c r="DF339" s="2"/>
    </row>
    <row r="340" spans="1:110" x14ac:dyDescent="0.2">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c r="AA340" s="7"/>
      <c r="AB340" s="7"/>
      <c r="AC340" s="7"/>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2"/>
      <c r="BJ340" s="2"/>
      <c r="BK340" s="2"/>
      <c r="BL340" s="2"/>
      <c r="BM340" s="2"/>
      <c r="BN340" s="2"/>
      <c r="BO340" s="2"/>
      <c r="BP340" s="2"/>
      <c r="BQ340" s="2"/>
      <c r="BR340" s="2"/>
      <c r="BS340" s="2"/>
      <c r="BT340" s="2"/>
      <c r="BU340" s="2"/>
      <c r="BV340" s="2"/>
      <c r="BW340" s="2"/>
      <c r="BX340" s="2"/>
      <c r="BY340" s="2"/>
      <c r="BZ340" s="2"/>
      <c r="CA340" s="2"/>
      <c r="CB340" s="2"/>
      <c r="CC340" s="2"/>
      <c r="CD340" s="2"/>
      <c r="CE340" s="2"/>
      <c r="CF340" s="2"/>
      <c r="CG340" s="2"/>
      <c r="CH340" s="2"/>
      <c r="CI340" s="2"/>
      <c r="CJ340" s="2"/>
      <c r="CK340" s="2"/>
      <c r="CL340" s="2"/>
      <c r="CM340" s="2"/>
      <c r="CN340" s="2"/>
      <c r="CO340" s="2"/>
      <c r="CP340" s="2"/>
      <c r="CQ340" s="2"/>
      <c r="CR340" s="2"/>
      <c r="CS340" s="2"/>
      <c r="CT340" s="2"/>
      <c r="CU340" s="2"/>
      <c r="CV340" s="2"/>
      <c r="CW340" s="2"/>
      <c r="CX340" s="2"/>
      <c r="CY340" s="2"/>
      <c r="CZ340" s="2"/>
      <c r="DA340" s="2"/>
      <c r="DB340" s="2"/>
      <c r="DC340" s="2"/>
      <c r="DD340" s="2"/>
      <c r="DE340" s="2"/>
      <c r="DF340" s="2"/>
    </row>
    <row r="341" spans="1:110" x14ac:dyDescent="0.2">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c r="AA341" s="7"/>
      <c r="AB341" s="7"/>
      <c r="AC341" s="7"/>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2"/>
      <c r="BJ341" s="2"/>
      <c r="BK341" s="2"/>
      <c r="BL341" s="2"/>
      <c r="BM341" s="2"/>
      <c r="BN341" s="2"/>
      <c r="BO341" s="2"/>
      <c r="BP341" s="2"/>
      <c r="BQ341" s="2"/>
      <c r="BR341" s="2"/>
      <c r="BS341" s="2"/>
      <c r="BT341" s="2"/>
      <c r="BU341" s="2"/>
      <c r="BV341" s="2"/>
      <c r="BW341" s="2"/>
      <c r="BX341" s="2"/>
      <c r="BY341" s="2"/>
      <c r="BZ341" s="2"/>
      <c r="CA341" s="2"/>
      <c r="CB341" s="2"/>
      <c r="CC341" s="2"/>
      <c r="CD341" s="2"/>
      <c r="CE341" s="2"/>
      <c r="CF341" s="2"/>
      <c r="CG341" s="2"/>
      <c r="CH341" s="2"/>
      <c r="CI341" s="2"/>
      <c r="CJ341" s="2"/>
      <c r="CK341" s="2"/>
      <c r="CL341" s="2"/>
      <c r="CM341" s="2"/>
      <c r="CN341" s="2"/>
      <c r="CO341" s="2"/>
      <c r="CP341" s="2"/>
      <c r="CQ341" s="2"/>
      <c r="CR341" s="2"/>
      <c r="CS341" s="2"/>
      <c r="CT341" s="2"/>
      <c r="CU341" s="2"/>
      <c r="CV341" s="2"/>
      <c r="CW341" s="2"/>
      <c r="CX341" s="2"/>
      <c r="CY341" s="2"/>
      <c r="CZ341" s="2"/>
      <c r="DA341" s="2"/>
      <c r="DB341" s="2"/>
      <c r="DC341" s="2"/>
      <c r="DD341" s="2"/>
      <c r="DE341" s="2"/>
      <c r="DF341" s="2"/>
    </row>
    <row r="342" spans="1:110" x14ac:dyDescent="0.2">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c r="AA342" s="7"/>
      <c r="AB342" s="7"/>
      <c r="AC342" s="7"/>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2"/>
      <c r="BJ342" s="2"/>
      <c r="BK342" s="2"/>
      <c r="BL342" s="2"/>
      <c r="BM342" s="2"/>
      <c r="BN342" s="2"/>
      <c r="BO342" s="2"/>
      <c r="BP342" s="2"/>
      <c r="BQ342" s="2"/>
      <c r="BR342" s="2"/>
      <c r="BS342" s="2"/>
      <c r="BT342" s="2"/>
      <c r="BU342" s="2"/>
      <c r="BV342" s="2"/>
      <c r="BW342" s="2"/>
      <c r="BX342" s="2"/>
      <c r="BY342" s="2"/>
      <c r="BZ342" s="2"/>
      <c r="CA342" s="2"/>
      <c r="CB342" s="2"/>
      <c r="CC342" s="2"/>
      <c r="CD342" s="2"/>
      <c r="CE342" s="2"/>
      <c r="CF342" s="2"/>
      <c r="CG342" s="2"/>
      <c r="CH342" s="2"/>
      <c r="CI342" s="2"/>
      <c r="CJ342" s="2"/>
      <c r="CK342" s="2"/>
      <c r="CL342" s="2"/>
      <c r="CM342" s="2"/>
      <c r="CN342" s="2"/>
      <c r="CO342" s="2"/>
      <c r="CP342" s="2"/>
      <c r="CQ342" s="2"/>
      <c r="CR342" s="2"/>
      <c r="CS342" s="2"/>
      <c r="CT342" s="2"/>
      <c r="CU342" s="2"/>
      <c r="CV342" s="2"/>
      <c r="CW342" s="2"/>
      <c r="CX342" s="2"/>
      <c r="CY342" s="2"/>
      <c r="CZ342" s="2"/>
      <c r="DA342" s="2"/>
      <c r="DB342" s="2"/>
      <c r="DC342" s="2"/>
      <c r="DD342" s="2"/>
      <c r="DE342" s="2"/>
      <c r="DF342" s="2"/>
    </row>
    <row r="343" spans="1:110" x14ac:dyDescent="0.2">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c r="AA343" s="7"/>
      <c r="AB343" s="7"/>
      <c r="AC343" s="7"/>
      <c r="AD343" s="2"/>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c r="BH343" s="2"/>
      <c r="BI343" s="2"/>
      <c r="BJ343" s="2"/>
      <c r="BK343" s="2"/>
      <c r="BL343" s="2"/>
      <c r="BM343" s="2"/>
      <c r="BN343" s="2"/>
      <c r="BO343" s="2"/>
      <c r="BP343" s="2"/>
      <c r="BQ343" s="2"/>
      <c r="BR343" s="2"/>
      <c r="BS343" s="2"/>
      <c r="BT343" s="2"/>
      <c r="BU343" s="2"/>
      <c r="BV343" s="2"/>
      <c r="BW343" s="2"/>
      <c r="BX343" s="2"/>
      <c r="BY343" s="2"/>
      <c r="BZ343" s="2"/>
      <c r="CA343" s="2"/>
      <c r="CB343" s="2"/>
      <c r="CC343" s="2"/>
      <c r="CD343" s="2"/>
      <c r="CE343" s="2"/>
      <c r="CF343" s="2"/>
      <c r="CG343" s="2"/>
      <c r="CH343" s="2"/>
      <c r="CI343" s="2"/>
      <c r="CJ343" s="2"/>
      <c r="CK343" s="2"/>
      <c r="CL343" s="2"/>
      <c r="CM343" s="2"/>
      <c r="CN343" s="2"/>
      <c r="CO343" s="2"/>
      <c r="CP343" s="2"/>
      <c r="CQ343" s="2"/>
      <c r="CR343" s="2"/>
      <c r="CS343" s="2"/>
      <c r="CT343" s="2"/>
      <c r="CU343" s="2"/>
      <c r="CV343" s="2"/>
      <c r="CW343" s="2"/>
      <c r="CX343" s="2"/>
      <c r="CY343" s="2"/>
      <c r="CZ343" s="2"/>
      <c r="DA343" s="2"/>
      <c r="DB343" s="2"/>
      <c r="DC343" s="2"/>
      <c r="DD343" s="2"/>
      <c r="DE343" s="2"/>
      <c r="DF343" s="2"/>
    </row>
    <row r="344" spans="1:110" x14ac:dyDescent="0.2">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c r="AA344" s="7"/>
      <c r="AB344" s="7"/>
      <c r="AC344" s="7"/>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c r="BH344" s="2"/>
      <c r="BI344" s="2"/>
      <c r="BJ344" s="2"/>
      <c r="BK344" s="2"/>
      <c r="BL344" s="2"/>
      <c r="BM344" s="2"/>
      <c r="BN344" s="2"/>
      <c r="BO344" s="2"/>
      <c r="BP344" s="2"/>
      <c r="BQ344" s="2"/>
      <c r="BR344" s="2"/>
      <c r="BS344" s="2"/>
      <c r="BT344" s="2"/>
      <c r="BU344" s="2"/>
      <c r="BV344" s="2"/>
      <c r="BW344" s="2"/>
      <c r="BX344" s="2"/>
      <c r="BY344" s="2"/>
      <c r="BZ344" s="2"/>
      <c r="CA344" s="2"/>
      <c r="CB344" s="2"/>
      <c r="CC344" s="2"/>
      <c r="CD344" s="2"/>
      <c r="CE344" s="2"/>
      <c r="CF344" s="2"/>
      <c r="CG344" s="2"/>
      <c r="CH344" s="2"/>
      <c r="CI344" s="2"/>
      <c r="CJ344" s="2"/>
      <c r="CK344" s="2"/>
      <c r="CL344" s="2"/>
      <c r="CM344" s="2"/>
      <c r="CN344" s="2"/>
      <c r="CO344" s="2"/>
      <c r="CP344" s="2"/>
      <c r="CQ344" s="2"/>
      <c r="CR344" s="2"/>
      <c r="CS344" s="2"/>
      <c r="CT344" s="2"/>
      <c r="CU344" s="2"/>
      <c r="CV344" s="2"/>
      <c r="CW344" s="2"/>
      <c r="CX344" s="2"/>
      <c r="CY344" s="2"/>
      <c r="CZ344" s="2"/>
      <c r="DA344" s="2"/>
      <c r="DB344" s="2"/>
      <c r="DC344" s="2"/>
      <c r="DD344" s="2"/>
      <c r="DE344" s="2"/>
      <c r="DF344" s="2"/>
    </row>
    <row r="345" spans="1:110" x14ac:dyDescent="0.2">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c r="AA345" s="7"/>
      <c r="AB345" s="7"/>
      <c r="AC345" s="7"/>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c r="BH345" s="2"/>
      <c r="BI345" s="2"/>
      <c r="BJ345" s="2"/>
      <c r="BK345" s="2"/>
      <c r="BL345" s="2"/>
      <c r="BM345" s="2"/>
      <c r="BN345" s="2"/>
      <c r="BO345" s="2"/>
      <c r="BP345" s="2"/>
      <c r="BQ345" s="2"/>
      <c r="BR345" s="2"/>
      <c r="BS345" s="2"/>
      <c r="BT345" s="2"/>
      <c r="BU345" s="2"/>
      <c r="BV345" s="2"/>
      <c r="BW345" s="2"/>
      <c r="BX345" s="2"/>
      <c r="BY345" s="2"/>
      <c r="BZ345" s="2"/>
      <c r="CA345" s="2"/>
      <c r="CB345" s="2"/>
      <c r="CC345" s="2"/>
      <c r="CD345" s="2"/>
      <c r="CE345" s="2"/>
      <c r="CF345" s="2"/>
      <c r="CG345" s="2"/>
      <c r="CH345" s="2"/>
      <c r="CI345" s="2"/>
      <c r="CJ345" s="2"/>
      <c r="CK345" s="2"/>
      <c r="CL345" s="2"/>
      <c r="CM345" s="2"/>
      <c r="CN345" s="2"/>
      <c r="CO345" s="2"/>
      <c r="CP345" s="2"/>
      <c r="CQ345" s="2"/>
      <c r="CR345" s="2"/>
      <c r="CS345" s="2"/>
      <c r="CT345" s="2"/>
      <c r="CU345" s="2"/>
      <c r="CV345" s="2"/>
      <c r="CW345" s="2"/>
      <c r="CX345" s="2"/>
      <c r="CY345" s="2"/>
      <c r="CZ345" s="2"/>
      <c r="DA345" s="2"/>
      <c r="DB345" s="2"/>
      <c r="DC345" s="2"/>
      <c r="DD345" s="2"/>
      <c r="DE345" s="2"/>
      <c r="DF345" s="2"/>
    </row>
    <row r="346" spans="1:110" x14ac:dyDescent="0.2">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c r="AA346" s="7"/>
      <c r="AB346" s="7"/>
      <c r="AC346" s="7"/>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c r="BH346" s="2"/>
      <c r="BI346" s="2"/>
      <c r="BJ346" s="2"/>
      <c r="BK346" s="2"/>
      <c r="BL346" s="2"/>
      <c r="BM346" s="2"/>
      <c r="BN346" s="2"/>
      <c r="BO346" s="2"/>
      <c r="BP346" s="2"/>
      <c r="BQ346" s="2"/>
      <c r="BR346" s="2"/>
      <c r="BS346" s="2"/>
      <c r="BT346" s="2"/>
      <c r="BU346" s="2"/>
      <c r="BV346" s="2"/>
      <c r="BW346" s="2"/>
      <c r="BX346" s="2"/>
      <c r="BY346" s="2"/>
      <c r="BZ346" s="2"/>
      <c r="CA346" s="2"/>
      <c r="CB346" s="2"/>
      <c r="CC346" s="2"/>
      <c r="CD346" s="2"/>
      <c r="CE346" s="2"/>
      <c r="CF346" s="2"/>
      <c r="CG346" s="2"/>
      <c r="CH346" s="2"/>
      <c r="CI346" s="2"/>
      <c r="CJ346" s="2"/>
      <c r="CK346" s="2"/>
      <c r="CL346" s="2"/>
      <c r="CM346" s="2"/>
      <c r="CN346" s="2"/>
      <c r="CO346" s="2"/>
      <c r="CP346" s="2"/>
      <c r="CQ346" s="2"/>
      <c r="CR346" s="2"/>
      <c r="CS346" s="2"/>
      <c r="CT346" s="2"/>
      <c r="CU346" s="2"/>
      <c r="CV346" s="2"/>
      <c r="CW346" s="2"/>
      <c r="CX346" s="2"/>
      <c r="CY346" s="2"/>
      <c r="CZ346" s="2"/>
      <c r="DA346" s="2"/>
      <c r="DB346" s="2"/>
      <c r="DC346" s="2"/>
      <c r="DD346" s="2"/>
      <c r="DE346" s="2"/>
      <c r="DF346" s="2"/>
    </row>
    <row r="347" spans="1:110" x14ac:dyDescent="0.2">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c r="AA347" s="7"/>
      <c r="AB347" s="7"/>
      <c r="AC347" s="7"/>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c r="BH347" s="2"/>
      <c r="BI347" s="2"/>
      <c r="BJ347" s="2"/>
      <c r="BK347" s="2"/>
      <c r="BL347" s="2"/>
      <c r="BM347" s="2"/>
      <c r="BN347" s="2"/>
      <c r="BO347" s="2"/>
      <c r="BP347" s="2"/>
      <c r="BQ347" s="2"/>
      <c r="BR347" s="2"/>
      <c r="BS347" s="2"/>
      <c r="BT347" s="2"/>
      <c r="BU347" s="2"/>
      <c r="BV347" s="2"/>
      <c r="BW347" s="2"/>
      <c r="BX347" s="2"/>
      <c r="BY347" s="2"/>
      <c r="BZ347" s="2"/>
      <c r="CA347" s="2"/>
      <c r="CB347" s="2"/>
      <c r="CC347" s="2"/>
      <c r="CD347" s="2"/>
      <c r="CE347" s="2"/>
      <c r="CF347" s="2"/>
      <c r="CG347" s="2"/>
      <c r="CH347" s="2"/>
      <c r="CI347" s="2"/>
      <c r="CJ347" s="2"/>
      <c r="CK347" s="2"/>
      <c r="CL347" s="2"/>
      <c r="CM347" s="2"/>
      <c r="CN347" s="2"/>
      <c r="CO347" s="2"/>
      <c r="CP347" s="2"/>
      <c r="CQ347" s="2"/>
      <c r="CR347" s="2"/>
      <c r="CS347" s="2"/>
      <c r="CT347" s="2"/>
      <c r="CU347" s="2"/>
      <c r="CV347" s="2"/>
      <c r="CW347" s="2"/>
      <c r="CX347" s="2"/>
      <c r="CY347" s="2"/>
      <c r="CZ347" s="2"/>
      <c r="DA347" s="2"/>
      <c r="DB347" s="2"/>
      <c r="DC347" s="2"/>
      <c r="DD347" s="2"/>
      <c r="DE347" s="2"/>
      <c r="DF347" s="2"/>
    </row>
    <row r="348" spans="1:110" x14ac:dyDescent="0.2">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c r="AA348" s="7"/>
      <c r="AB348" s="7"/>
      <c r="AC348" s="7"/>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c r="BH348" s="2"/>
      <c r="BI348" s="2"/>
      <c r="BJ348" s="2"/>
      <c r="BK348" s="2"/>
      <c r="BL348" s="2"/>
      <c r="BM348" s="2"/>
      <c r="BN348" s="2"/>
      <c r="BO348" s="2"/>
      <c r="BP348" s="2"/>
      <c r="BQ348" s="2"/>
      <c r="BR348" s="2"/>
      <c r="BS348" s="2"/>
      <c r="BT348" s="2"/>
      <c r="BU348" s="2"/>
      <c r="BV348" s="2"/>
      <c r="BW348" s="2"/>
      <c r="BX348" s="2"/>
      <c r="BY348" s="2"/>
      <c r="BZ348" s="2"/>
      <c r="CA348" s="2"/>
      <c r="CB348" s="2"/>
      <c r="CC348" s="2"/>
      <c r="CD348" s="2"/>
      <c r="CE348" s="2"/>
      <c r="CF348" s="2"/>
      <c r="CG348" s="2"/>
      <c r="CH348" s="2"/>
      <c r="CI348" s="2"/>
      <c r="CJ348" s="2"/>
      <c r="CK348" s="2"/>
      <c r="CL348" s="2"/>
      <c r="CM348" s="2"/>
      <c r="CN348" s="2"/>
      <c r="CO348" s="2"/>
      <c r="CP348" s="2"/>
      <c r="CQ348" s="2"/>
      <c r="CR348" s="2"/>
      <c r="CS348" s="2"/>
      <c r="CT348" s="2"/>
      <c r="CU348" s="2"/>
      <c r="CV348" s="2"/>
      <c r="CW348" s="2"/>
      <c r="CX348" s="2"/>
      <c r="CY348" s="2"/>
      <c r="CZ348" s="2"/>
      <c r="DA348" s="2"/>
      <c r="DB348" s="2"/>
      <c r="DC348" s="2"/>
      <c r="DD348" s="2"/>
      <c r="DE348" s="2"/>
      <c r="DF348" s="2"/>
    </row>
    <row r="349" spans="1:110" x14ac:dyDescent="0.2">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c r="AA349" s="7"/>
      <c r="AB349" s="7"/>
      <c r="AC349" s="7"/>
      <c r="AD349" s="2"/>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c r="BG349" s="2"/>
      <c r="BH349" s="2"/>
      <c r="BI349" s="2"/>
      <c r="BJ349" s="2"/>
      <c r="BK349" s="2"/>
      <c r="BL349" s="2"/>
      <c r="BM349" s="2"/>
      <c r="BN349" s="2"/>
      <c r="BO349" s="2"/>
      <c r="BP349" s="2"/>
      <c r="BQ349" s="2"/>
      <c r="BR349" s="2"/>
      <c r="BS349" s="2"/>
      <c r="BT349" s="2"/>
      <c r="BU349" s="2"/>
      <c r="BV349" s="2"/>
      <c r="BW349" s="2"/>
      <c r="BX349" s="2"/>
      <c r="BY349" s="2"/>
      <c r="BZ349" s="2"/>
      <c r="CA349" s="2"/>
      <c r="CB349" s="2"/>
      <c r="CC349" s="2"/>
      <c r="CD349" s="2"/>
      <c r="CE349" s="2"/>
      <c r="CF349" s="2"/>
      <c r="CG349" s="2"/>
      <c r="CH349" s="2"/>
      <c r="CI349" s="2"/>
      <c r="CJ349" s="2"/>
      <c r="CK349" s="2"/>
      <c r="CL349" s="2"/>
      <c r="CM349" s="2"/>
      <c r="CN349" s="2"/>
      <c r="CO349" s="2"/>
      <c r="CP349" s="2"/>
      <c r="CQ349" s="2"/>
      <c r="CR349" s="2"/>
      <c r="CS349" s="2"/>
      <c r="CT349" s="2"/>
      <c r="CU349" s="2"/>
      <c r="CV349" s="2"/>
      <c r="CW349" s="2"/>
      <c r="CX349" s="2"/>
      <c r="CY349" s="2"/>
      <c r="CZ349" s="2"/>
      <c r="DA349" s="2"/>
      <c r="DB349" s="2"/>
      <c r="DC349" s="2"/>
      <c r="DD349" s="2"/>
      <c r="DE349" s="2"/>
      <c r="DF349" s="2"/>
    </row>
    <row r="350" spans="1:110" x14ac:dyDescent="0.2">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c r="AA350" s="7"/>
      <c r="AB350" s="7"/>
      <c r="AC350" s="7"/>
      <c r="AD350" s="2"/>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c r="BG350" s="2"/>
      <c r="BH350" s="2"/>
      <c r="BI350" s="2"/>
      <c r="BJ350" s="2"/>
      <c r="BK350" s="2"/>
      <c r="BL350" s="2"/>
      <c r="BM350" s="2"/>
      <c r="BN350" s="2"/>
      <c r="BO350" s="2"/>
      <c r="BP350" s="2"/>
      <c r="BQ350" s="2"/>
      <c r="BR350" s="2"/>
      <c r="BS350" s="2"/>
      <c r="BT350" s="2"/>
      <c r="BU350" s="2"/>
      <c r="BV350" s="2"/>
      <c r="BW350" s="2"/>
      <c r="BX350" s="2"/>
      <c r="BY350" s="2"/>
      <c r="BZ350" s="2"/>
      <c r="CA350" s="2"/>
      <c r="CB350" s="2"/>
      <c r="CC350" s="2"/>
      <c r="CD350" s="2"/>
      <c r="CE350" s="2"/>
      <c r="CF350" s="2"/>
      <c r="CG350" s="2"/>
      <c r="CH350" s="2"/>
      <c r="CI350" s="2"/>
      <c r="CJ350" s="2"/>
      <c r="CK350" s="2"/>
      <c r="CL350" s="2"/>
      <c r="CM350" s="2"/>
      <c r="CN350" s="2"/>
      <c r="CO350" s="2"/>
      <c r="CP350" s="2"/>
      <c r="CQ350" s="2"/>
      <c r="CR350" s="2"/>
      <c r="CS350" s="2"/>
      <c r="CT350" s="2"/>
      <c r="CU350" s="2"/>
      <c r="CV350" s="2"/>
      <c r="CW350" s="2"/>
      <c r="CX350" s="2"/>
      <c r="CY350" s="2"/>
      <c r="CZ350" s="2"/>
      <c r="DA350" s="2"/>
      <c r="DB350" s="2"/>
      <c r="DC350" s="2"/>
      <c r="DD350" s="2"/>
      <c r="DE350" s="2"/>
      <c r="DF350" s="2"/>
    </row>
    <row r="351" spans="1:110" x14ac:dyDescent="0.2">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c r="AA351" s="7"/>
      <c r="AB351" s="7"/>
      <c r="AC351" s="7"/>
      <c r="AD351" s="2"/>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2"/>
      <c r="BF351" s="2"/>
      <c r="BG351" s="2"/>
      <c r="BH351" s="2"/>
      <c r="BI351" s="2"/>
      <c r="BJ351" s="2"/>
      <c r="BK351" s="2"/>
      <c r="BL351" s="2"/>
      <c r="BM351" s="2"/>
      <c r="BN351" s="2"/>
      <c r="BO351" s="2"/>
      <c r="BP351" s="2"/>
      <c r="BQ351" s="2"/>
      <c r="BR351" s="2"/>
      <c r="BS351" s="2"/>
      <c r="BT351" s="2"/>
      <c r="BU351" s="2"/>
      <c r="BV351" s="2"/>
      <c r="BW351" s="2"/>
      <c r="BX351" s="2"/>
      <c r="BY351" s="2"/>
      <c r="BZ351" s="2"/>
      <c r="CA351" s="2"/>
      <c r="CB351" s="2"/>
      <c r="CC351" s="2"/>
      <c r="CD351" s="2"/>
      <c r="CE351" s="2"/>
      <c r="CF351" s="2"/>
      <c r="CG351" s="2"/>
      <c r="CH351" s="2"/>
      <c r="CI351" s="2"/>
      <c r="CJ351" s="2"/>
      <c r="CK351" s="2"/>
      <c r="CL351" s="2"/>
      <c r="CM351" s="2"/>
      <c r="CN351" s="2"/>
      <c r="CO351" s="2"/>
      <c r="CP351" s="2"/>
      <c r="CQ351" s="2"/>
      <c r="CR351" s="2"/>
      <c r="CS351" s="2"/>
      <c r="CT351" s="2"/>
      <c r="CU351" s="2"/>
      <c r="CV351" s="2"/>
      <c r="CW351" s="2"/>
      <c r="CX351" s="2"/>
      <c r="CY351" s="2"/>
      <c r="CZ351" s="2"/>
      <c r="DA351" s="2"/>
      <c r="DB351" s="2"/>
      <c r="DC351" s="2"/>
      <c r="DD351" s="2"/>
      <c r="DE351" s="2"/>
      <c r="DF351" s="2"/>
    </row>
    <row r="352" spans="1:110" x14ac:dyDescent="0.2">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c r="AA352" s="7"/>
      <c r="AB352" s="7"/>
      <c r="AC352" s="7"/>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c r="BH352" s="2"/>
      <c r="BI352" s="2"/>
      <c r="BJ352" s="2"/>
      <c r="BK352" s="2"/>
      <c r="BL352" s="2"/>
      <c r="BM352" s="2"/>
      <c r="BN352" s="2"/>
      <c r="BO352" s="2"/>
      <c r="BP352" s="2"/>
      <c r="BQ352" s="2"/>
      <c r="BR352" s="2"/>
      <c r="BS352" s="2"/>
      <c r="BT352" s="2"/>
      <c r="BU352" s="2"/>
      <c r="BV352" s="2"/>
      <c r="BW352" s="2"/>
      <c r="BX352" s="2"/>
      <c r="BY352" s="2"/>
      <c r="BZ352" s="2"/>
      <c r="CA352" s="2"/>
      <c r="CB352" s="2"/>
      <c r="CC352" s="2"/>
      <c r="CD352" s="2"/>
      <c r="CE352" s="2"/>
      <c r="CF352" s="2"/>
      <c r="CG352" s="2"/>
      <c r="CH352" s="2"/>
      <c r="CI352" s="2"/>
      <c r="CJ352" s="2"/>
      <c r="CK352" s="2"/>
      <c r="CL352" s="2"/>
      <c r="CM352" s="2"/>
      <c r="CN352" s="2"/>
      <c r="CO352" s="2"/>
      <c r="CP352" s="2"/>
      <c r="CQ352" s="2"/>
      <c r="CR352" s="2"/>
      <c r="CS352" s="2"/>
      <c r="CT352" s="2"/>
      <c r="CU352" s="2"/>
      <c r="CV352" s="2"/>
      <c r="CW352" s="2"/>
      <c r="CX352" s="2"/>
      <c r="CY352" s="2"/>
      <c r="CZ352" s="2"/>
      <c r="DA352" s="2"/>
      <c r="DB352" s="2"/>
      <c r="DC352" s="2"/>
      <c r="DD352" s="2"/>
      <c r="DE352" s="2"/>
      <c r="DF352" s="2"/>
    </row>
    <row r="353" spans="1:110" x14ac:dyDescent="0.2">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c r="AA353" s="7"/>
      <c r="AB353" s="7"/>
      <c r="AC353" s="7"/>
      <c r="AD353" s="2"/>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c r="BG353" s="2"/>
      <c r="BH353" s="2"/>
      <c r="BI353" s="2"/>
      <c r="BJ353" s="2"/>
      <c r="BK353" s="2"/>
      <c r="BL353" s="2"/>
      <c r="BM353" s="2"/>
      <c r="BN353" s="2"/>
      <c r="BO353" s="2"/>
      <c r="BP353" s="2"/>
      <c r="BQ353" s="2"/>
      <c r="BR353" s="2"/>
      <c r="BS353" s="2"/>
      <c r="BT353" s="2"/>
      <c r="BU353" s="2"/>
      <c r="BV353" s="2"/>
      <c r="BW353" s="2"/>
      <c r="BX353" s="2"/>
      <c r="BY353" s="2"/>
      <c r="BZ353" s="2"/>
      <c r="CA353" s="2"/>
      <c r="CB353" s="2"/>
      <c r="CC353" s="2"/>
      <c r="CD353" s="2"/>
      <c r="CE353" s="2"/>
      <c r="CF353" s="2"/>
      <c r="CG353" s="2"/>
      <c r="CH353" s="2"/>
      <c r="CI353" s="2"/>
      <c r="CJ353" s="2"/>
      <c r="CK353" s="2"/>
      <c r="CL353" s="2"/>
      <c r="CM353" s="2"/>
      <c r="CN353" s="2"/>
      <c r="CO353" s="2"/>
      <c r="CP353" s="2"/>
      <c r="CQ353" s="2"/>
      <c r="CR353" s="2"/>
      <c r="CS353" s="2"/>
      <c r="CT353" s="2"/>
      <c r="CU353" s="2"/>
      <c r="CV353" s="2"/>
      <c r="CW353" s="2"/>
      <c r="CX353" s="2"/>
      <c r="CY353" s="2"/>
      <c r="CZ353" s="2"/>
      <c r="DA353" s="2"/>
      <c r="DB353" s="2"/>
      <c r="DC353" s="2"/>
      <c r="DD353" s="2"/>
      <c r="DE353" s="2"/>
      <c r="DF353" s="2"/>
    </row>
    <row r="354" spans="1:110" x14ac:dyDescent="0.2">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c r="AA354" s="7"/>
      <c r="AB354" s="7"/>
      <c r="AC354" s="7"/>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2"/>
      <c r="BF354" s="2"/>
      <c r="BG354" s="2"/>
      <c r="BH354" s="2"/>
      <c r="BI354" s="2"/>
      <c r="BJ354" s="2"/>
      <c r="BK354" s="2"/>
      <c r="BL354" s="2"/>
      <c r="BM354" s="2"/>
      <c r="BN354" s="2"/>
      <c r="BO354" s="2"/>
      <c r="BP354" s="2"/>
      <c r="BQ354" s="2"/>
      <c r="BR354" s="2"/>
      <c r="BS354" s="2"/>
      <c r="BT354" s="2"/>
      <c r="BU354" s="2"/>
      <c r="BV354" s="2"/>
      <c r="BW354" s="2"/>
      <c r="BX354" s="2"/>
      <c r="BY354" s="2"/>
      <c r="BZ354" s="2"/>
      <c r="CA354" s="2"/>
      <c r="CB354" s="2"/>
      <c r="CC354" s="2"/>
      <c r="CD354" s="2"/>
      <c r="CE354" s="2"/>
      <c r="CF354" s="2"/>
      <c r="CG354" s="2"/>
      <c r="CH354" s="2"/>
      <c r="CI354" s="2"/>
      <c r="CJ354" s="2"/>
      <c r="CK354" s="2"/>
      <c r="CL354" s="2"/>
      <c r="CM354" s="2"/>
      <c r="CN354" s="2"/>
      <c r="CO354" s="2"/>
      <c r="CP354" s="2"/>
      <c r="CQ354" s="2"/>
      <c r="CR354" s="2"/>
      <c r="CS354" s="2"/>
      <c r="CT354" s="2"/>
      <c r="CU354" s="2"/>
      <c r="CV354" s="2"/>
      <c r="CW354" s="2"/>
      <c r="CX354" s="2"/>
      <c r="CY354" s="2"/>
      <c r="CZ354" s="2"/>
      <c r="DA354" s="2"/>
      <c r="DB354" s="2"/>
      <c r="DC354" s="2"/>
      <c r="DD354" s="2"/>
      <c r="DE354" s="2"/>
      <c r="DF354" s="2"/>
    </row>
    <row r="355" spans="1:110" x14ac:dyDescent="0.2">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c r="AA355" s="7"/>
      <c r="AB355" s="7"/>
      <c r="AC355" s="7"/>
      <c r="AD355" s="2"/>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2"/>
      <c r="BF355" s="2"/>
      <c r="BG355" s="2"/>
      <c r="BH355" s="2"/>
      <c r="BI355" s="2"/>
      <c r="BJ355" s="2"/>
      <c r="BK355" s="2"/>
      <c r="BL355" s="2"/>
      <c r="BM355" s="2"/>
      <c r="BN355" s="2"/>
      <c r="BO355" s="2"/>
      <c r="BP355" s="2"/>
      <c r="BQ355" s="2"/>
      <c r="BR355" s="2"/>
      <c r="BS355" s="2"/>
      <c r="BT355" s="2"/>
      <c r="BU355" s="2"/>
      <c r="BV355" s="2"/>
      <c r="BW355" s="2"/>
      <c r="BX355" s="2"/>
      <c r="BY355" s="2"/>
      <c r="BZ355" s="2"/>
      <c r="CA355" s="2"/>
      <c r="CB355" s="2"/>
      <c r="CC355" s="2"/>
      <c r="CD355" s="2"/>
      <c r="CE355" s="2"/>
      <c r="CF355" s="2"/>
      <c r="CG355" s="2"/>
      <c r="CH355" s="2"/>
      <c r="CI355" s="2"/>
      <c r="CJ355" s="2"/>
      <c r="CK355" s="2"/>
      <c r="CL355" s="2"/>
      <c r="CM355" s="2"/>
      <c r="CN355" s="2"/>
      <c r="CO355" s="2"/>
      <c r="CP355" s="2"/>
      <c r="CQ355" s="2"/>
      <c r="CR355" s="2"/>
      <c r="CS355" s="2"/>
      <c r="CT355" s="2"/>
      <c r="CU355" s="2"/>
      <c r="CV355" s="2"/>
      <c r="CW355" s="2"/>
      <c r="CX355" s="2"/>
      <c r="CY355" s="2"/>
      <c r="CZ355" s="2"/>
      <c r="DA355" s="2"/>
      <c r="DB355" s="2"/>
      <c r="DC355" s="2"/>
      <c r="DD355" s="2"/>
      <c r="DE355" s="2"/>
      <c r="DF355" s="2"/>
    </row>
    <row r="356" spans="1:110" x14ac:dyDescent="0.2">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c r="AA356" s="7"/>
      <c r="AB356" s="7"/>
      <c r="AC356" s="7"/>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c r="BH356" s="2"/>
      <c r="BI356" s="2"/>
      <c r="BJ356" s="2"/>
      <c r="BK356" s="2"/>
      <c r="BL356" s="2"/>
      <c r="BM356" s="2"/>
      <c r="BN356" s="2"/>
      <c r="BO356" s="2"/>
      <c r="BP356" s="2"/>
      <c r="BQ356" s="2"/>
      <c r="BR356" s="2"/>
      <c r="BS356" s="2"/>
      <c r="BT356" s="2"/>
      <c r="BU356" s="2"/>
      <c r="BV356" s="2"/>
      <c r="BW356" s="2"/>
      <c r="BX356" s="2"/>
      <c r="BY356" s="2"/>
      <c r="BZ356" s="2"/>
      <c r="CA356" s="2"/>
      <c r="CB356" s="2"/>
      <c r="CC356" s="2"/>
      <c r="CD356" s="2"/>
      <c r="CE356" s="2"/>
      <c r="CF356" s="2"/>
      <c r="CG356" s="2"/>
      <c r="CH356" s="2"/>
      <c r="CI356" s="2"/>
      <c r="CJ356" s="2"/>
      <c r="CK356" s="2"/>
      <c r="CL356" s="2"/>
      <c r="CM356" s="2"/>
      <c r="CN356" s="2"/>
      <c r="CO356" s="2"/>
      <c r="CP356" s="2"/>
      <c r="CQ356" s="2"/>
      <c r="CR356" s="2"/>
      <c r="CS356" s="2"/>
      <c r="CT356" s="2"/>
      <c r="CU356" s="2"/>
      <c r="CV356" s="2"/>
      <c r="CW356" s="2"/>
      <c r="CX356" s="2"/>
      <c r="CY356" s="2"/>
      <c r="CZ356" s="2"/>
      <c r="DA356" s="2"/>
      <c r="DB356" s="2"/>
      <c r="DC356" s="2"/>
      <c r="DD356" s="2"/>
      <c r="DE356" s="2"/>
      <c r="DF356" s="2"/>
    </row>
    <row r="357" spans="1:110" x14ac:dyDescent="0.2">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c r="AA357" s="7"/>
      <c r="AB357" s="7"/>
      <c r="AC357" s="7"/>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c r="BH357" s="2"/>
      <c r="BI357" s="2"/>
      <c r="BJ357" s="2"/>
      <c r="BK357" s="2"/>
      <c r="BL357" s="2"/>
      <c r="BM357" s="2"/>
      <c r="BN357" s="2"/>
      <c r="BO357" s="2"/>
      <c r="BP357" s="2"/>
      <c r="BQ357" s="2"/>
      <c r="BR357" s="2"/>
      <c r="BS357" s="2"/>
      <c r="BT357" s="2"/>
      <c r="BU357" s="2"/>
      <c r="BV357" s="2"/>
      <c r="BW357" s="2"/>
      <c r="BX357" s="2"/>
      <c r="BY357" s="2"/>
      <c r="BZ357" s="2"/>
      <c r="CA357" s="2"/>
      <c r="CB357" s="2"/>
      <c r="CC357" s="2"/>
      <c r="CD357" s="2"/>
      <c r="CE357" s="2"/>
      <c r="CF357" s="2"/>
      <c r="CG357" s="2"/>
      <c r="CH357" s="2"/>
      <c r="CI357" s="2"/>
      <c r="CJ357" s="2"/>
      <c r="CK357" s="2"/>
      <c r="CL357" s="2"/>
      <c r="CM357" s="2"/>
      <c r="CN357" s="2"/>
      <c r="CO357" s="2"/>
      <c r="CP357" s="2"/>
      <c r="CQ357" s="2"/>
      <c r="CR357" s="2"/>
      <c r="CS357" s="2"/>
      <c r="CT357" s="2"/>
      <c r="CU357" s="2"/>
      <c r="CV357" s="2"/>
      <c r="CW357" s="2"/>
      <c r="CX357" s="2"/>
      <c r="CY357" s="2"/>
      <c r="CZ357" s="2"/>
      <c r="DA357" s="2"/>
      <c r="DB357" s="2"/>
      <c r="DC357" s="2"/>
      <c r="DD357" s="2"/>
      <c r="DE357" s="2"/>
      <c r="DF357" s="2"/>
    </row>
    <row r="358" spans="1:110" x14ac:dyDescent="0.2">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c r="AA358" s="7"/>
      <c r="AB358" s="7"/>
      <c r="AC358" s="7"/>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c r="BG358" s="2"/>
      <c r="BH358" s="2"/>
      <c r="BI358" s="2"/>
      <c r="BJ358" s="2"/>
      <c r="BK358" s="2"/>
      <c r="BL358" s="2"/>
      <c r="BM358" s="2"/>
      <c r="BN358" s="2"/>
      <c r="BO358" s="2"/>
      <c r="BP358" s="2"/>
      <c r="BQ358" s="2"/>
      <c r="BR358" s="2"/>
      <c r="BS358" s="2"/>
      <c r="BT358" s="2"/>
      <c r="BU358" s="2"/>
      <c r="BV358" s="2"/>
      <c r="BW358" s="2"/>
      <c r="BX358" s="2"/>
      <c r="BY358" s="2"/>
      <c r="BZ358" s="2"/>
      <c r="CA358" s="2"/>
      <c r="CB358" s="2"/>
      <c r="CC358" s="2"/>
      <c r="CD358" s="2"/>
      <c r="CE358" s="2"/>
      <c r="CF358" s="2"/>
      <c r="CG358" s="2"/>
      <c r="CH358" s="2"/>
      <c r="CI358" s="2"/>
      <c r="CJ358" s="2"/>
      <c r="CK358" s="2"/>
      <c r="CL358" s="2"/>
      <c r="CM358" s="2"/>
      <c r="CN358" s="2"/>
      <c r="CO358" s="2"/>
      <c r="CP358" s="2"/>
      <c r="CQ358" s="2"/>
      <c r="CR358" s="2"/>
      <c r="CS358" s="2"/>
      <c r="CT358" s="2"/>
      <c r="CU358" s="2"/>
      <c r="CV358" s="2"/>
      <c r="CW358" s="2"/>
      <c r="CX358" s="2"/>
      <c r="CY358" s="2"/>
      <c r="CZ358" s="2"/>
      <c r="DA358" s="2"/>
      <c r="DB358" s="2"/>
      <c r="DC358" s="2"/>
      <c r="DD358" s="2"/>
      <c r="DE358" s="2"/>
      <c r="DF358" s="2"/>
    </row>
    <row r="359" spans="1:110" x14ac:dyDescent="0.2">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c r="AA359" s="7"/>
      <c r="AB359" s="7"/>
      <c r="AC359" s="7"/>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c r="BG359" s="2"/>
      <c r="BH359" s="2"/>
      <c r="BI359" s="2"/>
      <c r="BJ359" s="2"/>
      <c r="BK359" s="2"/>
      <c r="BL359" s="2"/>
      <c r="BM359" s="2"/>
      <c r="BN359" s="2"/>
      <c r="BO359" s="2"/>
      <c r="BP359" s="2"/>
      <c r="BQ359" s="2"/>
      <c r="BR359" s="2"/>
      <c r="BS359" s="2"/>
      <c r="BT359" s="2"/>
      <c r="BU359" s="2"/>
      <c r="BV359" s="2"/>
      <c r="BW359" s="2"/>
      <c r="BX359" s="2"/>
      <c r="BY359" s="2"/>
      <c r="BZ359" s="2"/>
      <c r="CA359" s="2"/>
      <c r="CB359" s="2"/>
      <c r="CC359" s="2"/>
      <c r="CD359" s="2"/>
      <c r="CE359" s="2"/>
      <c r="CF359" s="2"/>
      <c r="CG359" s="2"/>
      <c r="CH359" s="2"/>
      <c r="CI359" s="2"/>
      <c r="CJ359" s="2"/>
      <c r="CK359" s="2"/>
      <c r="CL359" s="2"/>
      <c r="CM359" s="2"/>
      <c r="CN359" s="2"/>
      <c r="CO359" s="2"/>
      <c r="CP359" s="2"/>
      <c r="CQ359" s="2"/>
      <c r="CR359" s="2"/>
      <c r="CS359" s="2"/>
      <c r="CT359" s="2"/>
      <c r="CU359" s="2"/>
      <c r="CV359" s="2"/>
      <c r="CW359" s="2"/>
      <c r="CX359" s="2"/>
      <c r="CY359" s="2"/>
      <c r="CZ359" s="2"/>
      <c r="DA359" s="2"/>
      <c r="DB359" s="2"/>
      <c r="DC359" s="2"/>
      <c r="DD359" s="2"/>
      <c r="DE359" s="2"/>
      <c r="DF359" s="2"/>
    </row>
    <row r="360" spans="1:110" x14ac:dyDescent="0.2">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c r="AA360" s="7"/>
      <c r="AB360" s="7"/>
      <c r="AC360" s="7"/>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c r="BG360" s="2"/>
      <c r="BH360" s="2"/>
      <c r="BI360" s="2"/>
      <c r="BJ360" s="2"/>
      <c r="BK360" s="2"/>
      <c r="BL360" s="2"/>
      <c r="BM360" s="2"/>
      <c r="BN360" s="2"/>
      <c r="BO360" s="2"/>
      <c r="BP360" s="2"/>
      <c r="BQ360" s="2"/>
      <c r="BR360" s="2"/>
      <c r="BS360" s="2"/>
      <c r="BT360" s="2"/>
      <c r="BU360" s="2"/>
      <c r="BV360" s="2"/>
      <c r="BW360" s="2"/>
      <c r="BX360" s="2"/>
      <c r="BY360" s="2"/>
      <c r="BZ360" s="2"/>
      <c r="CA360" s="2"/>
      <c r="CB360" s="2"/>
      <c r="CC360" s="2"/>
      <c r="CD360" s="2"/>
      <c r="CE360" s="2"/>
      <c r="CF360" s="2"/>
      <c r="CG360" s="2"/>
      <c r="CH360" s="2"/>
      <c r="CI360" s="2"/>
      <c r="CJ360" s="2"/>
      <c r="CK360" s="2"/>
      <c r="CL360" s="2"/>
      <c r="CM360" s="2"/>
      <c r="CN360" s="2"/>
      <c r="CO360" s="2"/>
      <c r="CP360" s="2"/>
      <c r="CQ360" s="2"/>
      <c r="CR360" s="2"/>
      <c r="CS360" s="2"/>
      <c r="CT360" s="2"/>
      <c r="CU360" s="2"/>
      <c r="CV360" s="2"/>
      <c r="CW360" s="2"/>
      <c r="CX360" s="2"/>
      <c r="CY360" s="2"/>
      <c r="CZ360" s="2"/>
      <c r="DA360" s="2"/>
      <c r="DB360" s="2"/>
      <c r="DC360" s="2"/>
      <c r="DD360" s="2"/>
      <c r="DE360" s="2"/>
      <c r="DF360" s="2"/>
    </row>
    <row r="361" spans="1:110" x14ac:dyDescent="0.2">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c r="AA361" s="7"/>
      <c r="AB361" s="7"/>
      <c r="AC361" s="7"/>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c r="BG361" s="2"/>
      <c r="BH361" s="2"/>
      <c r="BI361" s="2"/>
      <c r="BJ361" s="2"/>
      <c r="BK361" s="2"/>
      <c r="BL361" s="2"/>
      <c r="BM361" s="2"/>
      <c r="BN361" s="2"/>
      <c r="BO361" s="2"/>
      <c r="BP361" s="2"/>
      <c r="BQ361" s="2"/>
      <c r="BR361" s="2"/>
      <c r="BS361" s="2"/>
      <c r="BT361" s="2"/>
      <c r="BU361" s="2"/>
      <c r="BV361" s="2"/>
      <c r="BW361" s="2"/>
      <c r="BX361" s="2"/>
      <c r="BY361" s="2"/>
      <c r="BZ361" s="2"/>
      <c r="CA361" s="2"/>
      <c r="CB361" s="2"/>
      <c r="CC361" s="2"/>
      <c r="CD361" s="2"/>
      <c r="CE361" s="2"/>
      <c r="CF361" s="2"/>
      <c r="CG361" s="2"/>
      <c r="CH361" s="2"/>
      <c r="CI361" s="2"/>
      <c r="CJ361" s="2"/>
      <c r="CK361" s="2"/>
      <c r="CL361" s="2"/>
      <c r="CM361" s="2"/>
      <c r="CN361" s="2"/>
      <c r="CO361" s="2"/>
      <c r="CP361" s="2"/>
      <c r="CQ361" s="2"/>
      <c r="CR361" s="2"/>
      <c r="CS361" s="2"/>
      <c r="CT361" s="2"/>
      <c r="CU361" s="2"/>
      <c r="CV361" s="2"/>
      <c r="CW361" s="2"/>
      <c r="CX361" s="2"/>
      <c r="CY361" s="2"/>
      <c r="CZ361" s="2"/>
      <c r="DA361" s="2"/>
      <c r="DB361" s="2"/>
      <c r="DC361" s="2"/>
      <c r="DD361" s="2"/>
      <c r="DE361" s="2"/>
      <c r="DF361" s="2"/>
    </row>
    <row r="362" spans="1:110" x14ac:dyDescent="0.2">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c r="AA362" s="7"/>
      <c r="AB362" s="7"/>
      <c r="AC362" s="7"/>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c r="BG362" s="2"/>
      <c r="BH362" s="2"/>
      <c r="BI362" s="2"/>
      <c r="BJ362" s="2"/>
      <c r="BK362" s="2"/>
      <c r="BL362" s="2"/>
      <c r="BM362" s="2"/>
      <c r="BN362" s="2"/>
      <c r="BO362" s="2"/>
      <c r="BP362" s="2"/>
      <c r="BQ362" s="2"/>
      <c r="BR362" s="2"/>
      <c r="BS362" s="2"/>
      <c r="BT362" s="2"/>
      <c r="BU362" s="2"/>
      <c r="BV362" s="2"/>
      <c r="BW362" s="2"/>
      <c r="BX362" s="2"/>
      <c r="BY362" s="2"/>
      <c r="BZ362" s="2"/>
      <c r="CA362" s="2"/>
      <c r="CB362" s="2"/>
      <c r="CC362" s="2"/>
      <c r="CD362" s="2"/>
      <c r="CE362" s="2"/>
      <c r="CF362" s="2"/>
      <c r="CG362" s="2"/>
      <c r="CH362" s="2"/>
      <c r="CI362" s="2"/>
      <c r="CJ362" s="2"/>
      <c r="CK362" s="2"/>
      <c r="CL362" s="2"/>
      <c r="CM362" s="2"/>
      <c r="CN362" s="2"/>
      <c r="CO362" s="2"/>
      <c r="CP362" s="2"/>
      <c r="CQ362" s="2"/>
      <c r="CR362" s="2"/>
      <c r="CS362" s="2"/>
      <c r="CT362" s="2"/>
      <c r="CU362" s="2"/>
      <c r="CV362" s="2"/>
      <c r="CW362" s="2"/>
      <c r="CX362" s="2"/>
      <c r="CY362" s="2"/>
      <c r="CZ362" s="2"/>
      <c r="DA362" s="2"/>
      <c r="DB362" s="2"/>
      <c r="DC362" s="2"/>
      <c r="DD362" s="2"/>
      <c r="DE362" s="2"/>
      <c r="DF362" s="2"/>
    </row>
    <row r="363" spans="1:110" x14ac:dyDescent="0.2">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c r="AA363" s="7"/>
      <c r="AB363" s="7"/>
      <c r="AC363" s="7"/>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c r="BH363" s="2"/>
      <c r="BI363" s="2"/>
      <c r="BJ363" s="2"/>
      <c r="BK363" s="2"/>
      <c r="BL363" s="2"/>
      <c r="BM363" s="2"/>
      <c r="BN363" s="2"/>
      <c r="BO363" s="2"/>
      <c r="BP363" s="2"/>
      <c r="BQ363" s="2"/>
      <c r="BR363" s="2"/>
      <c r="BS363" s="2"/>
      <c r="BT363" s="2"/>
      <c r="BU363" s="2"/>
      <c r="BV363" s="2"/>
      <c r="BW363" s="2"/>
      <c r="BX363" s="2"/>
      <c r="BY363" s="2"/>
      <c r="BZ363" s="2"/>
      <c r="CA363" s="2"/>
      <c r="CB363" s="2"/>
      <c r="CC363" s="2"/>
      <c r="CD363" s="2"/>
      <c r="CE363" s="2"/>
      <c r="CF363" s="2"/>
      <c r="CG363" s="2"/>
      <c r="CH363" s="2"/>
      <c r="CI363" s="2"/>
      <c r="CJ363" s="2"/>
      <c r="CK363" s="2"/>
      <c r="CL363" s="2"/>
      <c r="CM363" s="2"/>
      <c r="CN363" s="2"/>
      <c r="CO363" s="2"/>
      <c r="CP363" s="2"/>
      <c r="CQ363" s="2"/>
      <c r="CR363" s="2"/>
      <c r="CS363" s="2"/>
      <c r="CT363" s="2"/>
      <c r="CU363" s="2"/>
      <c r="CV363" s="2"/>
      <c r="CW363" s="2"/>
      <c r="CX363" s="2"/>
      <c r="CY363" s="2"/>
      <c r="CZ363" s="2"/>
      <c r="DA363" s="2"/>
      <c r="DB363" s="2"/>
      <c r="DC363" s="2"/>
      <c r="DD363" s="2"/>
      <c r="DE363" s="2"/>
      <c r="DF363" s="2"/>
    </row>
    <row r="364" spans="1:110" x14ac:dyDescent="0.2">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c r="AA364" s="7"/>
      <c r="AB364" s="7"/>
      <c r="AC364" s="7"/>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c r="BH364" s="2"/>
      <c r="BI364" s="2"/>
      <c r="BJ364" s="2"/>
      <c r="BK364" s="2"/>
      <c r="BL364" s="2"/>
      <c r="BM364" s="2"/>
      <c r="BN364" s="2"/>
      <c r="BO364" s="2"/>
      <c r="BP364" s="2"/>
      <c r="BQ364" s="2"/>
      <c r="BR364" s="2"/>
      <c r="BS364" s="2"/>
      <c r="BT364" s="2"/>
      <c r="BU364" s="2"/>
      <c r="BV364" s="2"/>
      <c r="BW364" s="2"/>
      <c r="BX364" s="2"/>
      <c r="BY364" s="2"/>
      <c r="BZ364" s="2"/>
      <c r="CA364" s="2"/>
      <c r="CB364" s="2"/>
      <c r="CC364" s="2"/>
      <c r="CD364" s="2"/>
      <c r="CE364" s="2"/>
      <c r="CF364" s="2"/>
      <c r="CG364" s="2"/>
      <c r="CH364" s="2"/>
      <c r="CI364" s="2"/>
      <c r="CJ364" s="2"/>
      <c r="CK364" s="2"/>
      <c r="CL364" s="2"/>
      <c r="CM364" s="2"/>
      <c r="CN364" s="2"/>
      <c r="CO364" s="2"/>
      <c r="CP364" s="2"/>
      <c r="CQ364" s="2"/>
      <c r="CR364" s="2"/>
      <c r="CS364" s="2"/>
      <c r="CT364" s="2"/>
      <c r="CU364" s="2"/>
      <c r="CV364" s="2"/>
      <c r="CW364" s="2"/>
      <c r="CX364" s="2"/>
      <c r="CY364" s="2"/>
      <c r="CZ364" s="2"/>
      <c r="DA364" s="2"/>
      <c r="DB364" s="2"/>
      <c r="DC364" s="2"/>
      <c r="DD364" s="2"/>
      <c r="DE364" s="2"/>
      <c r="DF364" s="2"/>
    </row>
    <row r="365" spans="1:110" x14ac:dyDescent="0.2">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c r="AA365" s="7"/>
      <c r="AB365" s="7"/>
      <c r="AC365" s="7"/>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2"/>
      <c r="BJ365" s="2"/>
      <c r="BK365" s="2"/>
      <c r="BL365" s="2"/>
      <c r="BM365" s="2"/>
      <c r="BN365" s="2"/>
      <c r="BO365" s="2"/>
      <c r="BP365" s="2"/>
      <c r="BQ365" s="2"/>
      <c r="BR365" s="2"/>
      <c r="BS365" s="2"/>
      <c r="BT365" s="2"/>
      <c r="BU365" s="2"/>
      <c r="BV365" s="2"/>
      <c r="BW365" s="2"/>
      <c r="BX365" s="2"/>
      <c r="BY365" s="2"/>
      <c r="BZ365" s="2"/>
      <c r="CA365" s="2"/>
      <c r="CB365" s="2"/>
      <c r="CC365" s="2"/>
      <c r="CD365" s="2"/>
      <c r="CE365" s="2"/>
      <c r="CF365" s="2"/>
      <c r="CG365" s="2"/>
      <c r="CH365" s="2"/>
      <c r="CI365" s="2"/>
      <c r="CJ365" s="2"/>
      <c r="CK365" s="2"/>
      <c r="CL365" s="2"/>
      <c r="CM365" s="2"/>
      <c r="CN365" s="2"/>
      <c r="CO365" s="2"/>
      <c r="CP365" s="2"/>
      <c r="CQ365" s="2"/>
      <c r="CR365" s="2"/>
      <c r="CS365" s="2"/>
      <c r="CT365" s="2"/>
      <c r="CU365" s="2"/>
      <c r="CV365" s="2"/>
      <c r="CW365" s="2"/>
      <c r="CX365" s="2"/>
      <c r="CY365" s="2"/>
      <c r="CZ365" s="2"/>
      <c r="DA365" s="2"/>
      <c r="DB365" s="2"/>
      <c r="DC365" s="2"/>
      <c r="DD365" s="2"/>
      <c r="DE365" s="2"/>
      <c r="DF365" s="2"/>
    </row>
    <row r="366" spans="1:110" x14ac:dyDescent="0.2">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c r="AA366" s="7"/>
      <c r="AB366" s="7"/>
      <c r="AC366" s="7"/>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c r="BH366" s="2"/>
      <c r="BI366" s="2"/>
      <c r="BJ366" s="2"/>
      <c r="BK366" s="2"/>
      <c r="BL366" s="2"/>
      <c r="BM366" s="2"/>
      <c r="BN366" s="2"/>
      <c r="BO366" s="2"/>
      <c r="BP366" s="2"/>
      <c r="BQ366" s="2"/>
      <c r="BR366" s="2"/>
      <c r="BS366" s="2"/>
      <c r="BT366" s="2"/>
      <c r="BU366" s="2"/>
      <c r="BV366" s="2"/>
      <c r="BW366" s="2"/>
      <c r="BX366" s="2"/>
      <c r="BY366" s="2"/>
      <c r="BZ366" s="2"/>
      <c r="CA366" s="2"/>
      <c r="CB366" s="2"/>
      <c r="CC366" s="2"/>
      <c r="CD366" s="2"/>
      <c r="CE366" s="2"/>
      <c r="CF366" s="2"/>
      <c r="CG366" s="2"/>
      <c r="CH366" s="2"/>
      <c r="CI366" s="2"/>
      <c r="CJ366" s="2"/>
      <c r="CK366" s="2"/>
      <c r="CL366" s="2"/>
      <c r="CM366" s="2"/>
      <c r="CN366" s="2"/>
      <c r="CO366" s="2"/>
      <c r="CP366" s="2"/>
      <c r="CQ366" s="2"/>
      <c r="CR366" s="2"/>
      <c r="CS366" s="2"/>
      <c r="CT366" s="2"/>
      <c r="CU366" s="2"/>
      <c r="CV366" s="2"/>
      <c r="CW366" s="2"/>
      <c r="CX366" s="2"/>
      <c r="CY366" s="2"/>
      <c r="CZ366" s="2"/>
      <c r="DA366" s="2"/>
      <c r="DB366" s="2"/>
      <c r="DC366" s="2"/>
      <c r="DD366" s="2"/>
      <c r="DE366" s="2"/>
      <c r="DF366" s="2"/>
    </row>
    <row r="367" spans="1:110" x14ac:dyDescent="0.2">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c r="AA367" s="7"/>
      <c r="AB367" s="7"/>
      <c r="AC367" s="7"/>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c r="BH367" s="2"/>
      <c r="BI367" s="2"/>
      <c r="BJ367" s="2"/>
      <c r="BK367" s="2"/>
      <c r="BL367" s="2"/>
      <c r="BM367" s="2"/>
      <c r="BN367" s="2"/>
      <c r="BO367" s="2"/>
      <c r="BP367" s="2"/>
      <c r="BQ367" s="2"/>
      <c r="BR367" s="2"/>
      <c r="BS367" s="2"/>
      <c r="BT367" s="2"/>
      <c r="BU367" s="2"/>
      <c r="BV367" s="2"/>
      <c r="BW367" s="2"/>
      <c r="BX367" s="2"/>
      <c r="BY367" s="2"/>
      <c r="BZ367" s="2"/>
      <c r="CA367" s="2"/>
      <c r="CB367" s="2"/>
      <c r="CC367" s="2"/>
      <c r="CD367" s="2"/>
      <c r="CE367" s="2"/>
      <c r="CF367" s="2"/>
      <c r="CG367" s="2"/>
      <c r="CH367" s="2"/>
      <c r="CI367" s="2"/>
      <c r="CJ367" s="2"/>
      <c r="CK367" s="2"/>
      <c r="CL367" s="2"/>
      <c r="CM367" s="2"/>
      <c r="CN367" s="2"/>
      <c r="CO367" s="2"/>
      <c r="CP367" s="2"/>
      <c r="CQ367" s="2"/>
      <c r="CR367" s="2"/>
      <c r="CS367" s="2"/>
      <c r="CT367" s="2"/>
      <c r="CU367" s="2"/>
      <c r="CV367" s="2"/>
      <c r="CW367" s="2"/>
      <c r="CX367" s="2"/>
      <c r="CY367" s="2"/>
      <c r="CZ367" s="2"/>
      <c r="DA367" s="2"/>
      <c r="DB367" s="2"/>
      <c r="DC367" s="2"/>
      <c r="DD367" s="2"/>
      <c r="DE367" s="2"/>
      <c r="DF367" s="2"/>
    </row>
    <row r="368" spans="1:110" x14ac:dyDescent="0.2">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c r="AA368" s="7"/>
      <c r="AB368" s="7"/>
      <c r="AC368" s="7"/>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c r="BH368" s="2"/>
      <c r="BI368" s="2"/>
      <c r="BJ368" s="2"/>
      <c r="BK368" s="2"/>
      <c r="BL368" s="2"/>
      <c r="BM368" s="2"/>
      <c r="BN368" s="2"/>
      <c r="BO368" s="2"/>
      <c r="BP368" s="2"/>
      <c r="BQ368" s="2"/>
      <c r="BR368" s="2"/>
      <c r="BS368" s="2"/>
      <c r="BT368" s="2"/>
      <c r="BU368" s="2"/>
      <c r="BV368" s="2"/>
      <c r="BW368" s="2"/>
      <c r="BX368" s="2"/>
      <c r="BY368" s="2"/>
      <c r="BZ368" s="2"/>
      <c r="CA368" s="2"/>
      <c r="CB368" s="2"/>
      <c r="CC368" s="2"/>
      <c r="CD368" s="2"/>
      <c r="CE368" s="2"/>
      <c r="CF368" s="2"/>
      <c r="CG368" s="2"/>
      <c r="CH368" s="2"/>
      <c r="CI368" s="2"/>
      <c r="CJ368" s="2"/>
      <c r="CK368" s="2"/>
      <c r="CL368" s="2"/>
      <c r="CM368" s="2"/>
      <c r="CN368" s="2"/>
      <c r="CO368" s="2"/>
      <c r="CP368" s="2"/>
      <c r="CQ368" s="2"/>
      <c r="CR368" s="2"/>
      <c r="CS368" s="2"/>
      <c r="CT368" s="2"/>
      <c r="CU368" s="2"/>
      <c r="CV368" s="2"/>
      <c r="CW368" s="2"/>
      <c r="CX368" s="2"/>
      <c r="CY368" s="2"/>
      <c r="CZ368" s="2"/>
      <c r="DA368" s="2"/>
      <c r="DB368" s="2"/>
      <c r="DC368" s="2"/>
      <c r="DD368" s="2"/>
      <c r="DE368" s="2"/>
      <c r="DF368" s="2"/>
    </row>
    <row r="369" spans="1:110" x14ac:dyDescent="0.2">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c r="AA369" s="7"/>
      <c r="AB369" s="7"/>
      <c r="AC369" s="7"/>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c r="BH369" s="2"/>
      <c r="BI369" s="2"/>
      <c r="BJ369" s="2"/>
      <c r="BK369" s="2"/>
      <c r="BL369" s="2"/>
      <c r="BM369" s="2"/>
      <c r="BN369" s="2"/>
      <c r="BO369" s="2"/>
      <c r="BP369" s="2"/>
      <c r="BQ369" s="2"/>
      <c r="BR369" s="2"/>
      <c r="BS369" s="2"/>
      <c r="BT369" s="2"/>
      <c r="BU369" s="2"/>
      <c r="BV369" s="2"/>
      <c r="BW369" s="2"/>
      <c r="BX369" s="2"/>
      <c r="BY369" s="2"/>
      <c r="BZ369" s="2"/>
      <c r="CA369" s="2"/>
      <c r="CB369" s="2"/>
      <c r="CC369" s="2"/>
      <c r="CD369" s="2"/>
      <c r="CE369" s="2"/>
      <c r="CF369" s="2"/>
      <c r="CG369" s="2"/>
      <c r="CH369" s="2"/>
      <c r="CI369" s="2"/>
      <c r="CJ369" s="2"/>
      <c r="CK369" s="2"/>
      <c r="CL369" s="2"/>
      <c r="CM369" s="2"/>
      <c r="CN369" s="2"/>
      <c r="CO369" s="2"/>
      <c r="CP369" s="2"/>
      <c r="CQ369" s="2"/>
      <c r="CR369" s="2"/>
      <c r="CS369" s="2"/>
      <c r="CT369" s="2"/>
      <c r="CU369" s="2"/>
      <c r="CV369" s="2"/>
      <c r="CW369" s="2"/>
      <c r="CX369" s="2"/>
      <c r="CY369" s="2"/>
      <c r="CZ369" s="2"/>
      <c r="DA369" s="2"/>
      <c r="DB369" s="2"/>
      <c r="DC369" s="2"/>
      <c r="DD369" s="2"/>
      <c r="DE369" s="2"/>
      <c r="DF369" s="2"/>
    </row>
    <row r="370" spans="1:110" x14ac:dyDescent="0.2">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c r="AA370" s="7"/>
      <c r="AB370" s="7"/>
      <c r="AC370" s="7"/>
      <c r="AD370" s="2"/>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c r="BG370" s="2"/>
      <c r="BH370" s="2"/>
      <c r="BI370" s="2"/>
      <c r="BJ370" s="2"/>
      <c r="BK370" s="2"/>
      <c r="BL370" s="2"/>
      <c r="BM370" s="2"/>
      <c r="BN370" s="2"/>
      <c r="BO370" s="2"/>
      <c r="BP370" s="2"/>
      <c r="BQ370" s="2"/>
      <c r="BR370" s="2"/>
      <c r="BS370" s="2"/>
      <c r="BT370" s="2"/>
      <c r="BU370" s="2"/>
      <c r="BV370" s="2"/>
      <c r="BW370" s="2"/>
      <c r="BX370" s="2"/>
      <c r="BY370" s="2"/>
      <c r="BZ370" s="2"/>
      <c r="CA370" s="2"/>
      <c r="CB370" s="2"/>
      <c r="CC370" s="2"/>
      <c r="CD370" s="2"/>
      <c r="CE370" s="2"/>
      <c r="CF370" s="2"/>
      <c r="CG370" s="2"/>
      <c r="CH370" s="2"/>
      <c r="CI370" s="2"/>
      <c r="CJ370" s="2"/>
      <c r="CK370" s="2"/>
      <c r="CL370" s="2"/>
      <c r="CM370" s="2"/>
      <c r="CN370" s="2"/>
      <c r="CO370" s="2"/>
      <c r="CP370" s="2"/>
      <c r="CQ370" s="2"/>
      <c r="CR370" s="2"/>
      <c r="CS370" s="2"/>
      <c r="CT370" s="2"/>
      <c r="CU370" s="2"/>
      <c r="CV370" s="2"/>
      <c r="CW370" s="2"/>
      <c r="CX370" s="2"/>
      <c r="CY370" s="2"/>
      <c r="CZ370" s="2"/>
      <c r="DA370" s="2"/>
      <c r="DB370" s="2"/>
      <c r="DC370" s="2"/>
      <c r="DD370" s="2"/>
      <c r="DE370" s="2"/>
      <c r="DF370" s="2"/>
    </row>
    <row r="371" spans="1:110" x14ac:dyDescent="0.2">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c r="AA371" s="7"/>
      <c r="AB371" s="7"/>
      <c r="AC371" s="7"/>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c r="BP371" s="2"/>
      <c r="BQ371" s="2"/>
      <c r="BR371" s="2"/>
      <c r="BS371" s="2"/>
      <c r="BT371" s="2"/>
      <c r="BU371" s="2"/>
      <c r="BV371" s="2"/>
      <c r="BW371" s="2"/>
      <c r="BX371" s="2"/>
      <c r="BY371" s="2"/>
      <c r="BZ371" s="2"/>
      <c r="CA371" s="2"/>
      <c r="CB371" s="2"/>
      <c r="CC371" s="2"/>
      <c r="CD371" s="2"/>
      <c r="CE371" s="2"/>
      <c r="CF371" s="2"/>
      <c r="CG371" s="2"/>
      <c r="CH371" s="2"/>
      <c r="CI371" s="2"/>
      <c r="CJ371" s="2"/>
      <c r="CK371" s="2"/>
      <c r="CL371" s="2"/>
      <c r="CM371" s="2"/>
      <c r="CN371" s="2"/>
      <c r="CO371" s="2"/>
      <c r="CP371" s="2"/>
      <c r="CQ371" s="2"/>
      <c r="CR371" s="2"/>
      <c r="CS371" s="2"/>
      <c r="CT371" s="2"/>
      <c r="CU371" s="2"/>
      <c r="CV371" s="2"/>
      <c r="CW371" s="2"/>
      <c r="CX371" s="2"/>
      <c r="CY371" s="2"/>
      <c r="CZ371" s="2"/>
      <c r="DA371" s="2"/>
      <c r="DB371" s="2"/>
      <c r="DC371" s="2"/>
      <c r="DD371" s="2"/>
      <c r="DE371" s="2"/>
      <c r="DF371" s="2"/>
    </row>
    <row r="372" spans="1:110" x14ac:dyDescent="0.2">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c r="AA372" s="7"/>
      <c r="AB372" s="7"/>
      <c r="AC372" s="7"/>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c r="BH372" s="2"/>
      <c r="BI372" s="2"/>
      <c r="BJ372" s="2"/>
      <c r="BK372" s="2"/>
      <c r="BL372" s="2"/>
      <c r="BM372" s="2"/>
      <c r="BN372" s="2"/>
      <c r="BO372" s="2"/>
      <c r="BP372" s="2"/>
      <c r="BQ372" s="2"/>
      <c r="BR372" s="2"/>
      <c r="BS372" s="2"/>
      <c r="BT372" s="2"/>
      <c r="BU372" s="2"/>
      <c r="BV372" s="2"/>
      <c r="BW372" s="2"/>
      <c r="BX372" s="2"/>
      <c r="BY372" s="2"/>
      <c r="BZ372" s="2"/>
      <c r="CA372" s="2"/>
      <c r="CB372" s="2"/>
      <c r="CC372" s="2"/>
      <c r="CD372" s="2"/>
      <c r="CE372" s="2"/>
      <c r="CF372" s="2"/>
      <c r="CG372" s="2"/>
      <c r="CH372" s="2"/>
      <c r="CI372" s="2"/>
      <c r="CJ372" s="2"/>
      <c r="CK372" s="2"/>
      <c r="CL372" s="2"/>
      <c r="CM372" s="2"/>
      <c r="CN372" s="2"/>
      <c r="CO372" s="2"/>
      <c r="CP372" s="2"/>
      <c r="CQ372" s="2"/>
      <c r="CR372" s="2"/>
      <c r="CS372" s="2"/>
      <c r="CT372" s="2"/>
      <c r="CU372" s="2"/>
      <c r="CV372" s="2"/>
      <c r="CW372" s="2"/>
      <c r="CX372" s="2"/>
      <c r="CY372" s="2"/>
      <c r="CZ372" s="2"/>
      <c r="DA372" s="2"/>
      <c r="DB372" s="2"/>
      <c r="DC372" s="2"/>
      <c r="DD372" s="2"/>
      <c r="DE372" s="2"/>
      <c r="DF372" s="2"/>
    </row>
    <row r="373" spans="1:110" x14ac:dyDescent="0.2">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c r="AA373" s="7"/>
      <c r="AB373" s="7"/>
      <c r="AC373" s="7"/>
      <c r="AD373" s="2"/>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2"/>
      <c r="BF373" s="2"/>
      <c r="BG373" s="2"/>
      <c r="BH373" s="2"/>
      <c r="BI373" s="2"/>
      <c r="BJ373" s="2"/>
      <c r="BK373" s="2"/>
      <c r="BL373" s="2"/>
      <c r="BM373" s="2"/>
      <c r="BN373" s="2"/>
      <c r="BO373" s="2"/>
      <c r="BP373" s="2"/>
      <c r="BQ373" s="2"/>
      <c r="BR373" s="2"/>
      <c r="BS373" s="2"/>
      <c r="BT373" s="2"/>
      <c r="BU373" s="2"/>
      <c r="BV373" s="2"/>
      <c r="BW373" s="2"/>
      <c r="BX373" s="2"/>
      <c r="BY373" s="2"/>
      <c r="BZ373" s="2"/>
      <c r="CA373" s="2"/>
      <c r="CB373" s="2"/>
      <c r="CC373" s="2"/>
      <c r="CD373" s="2"/>
      <c r="CE373" s="2"/>
      <c r="CF373" s="2"/>
      <c r="CG373" s="2"/>
      <c r="CH373" s="2"/>
      <c r="CI373" s="2"/>
      <c r="CJ373" s="2"/>
      <c r="CK373" s="2"/>
      <c r="CL373" s="2"/>
      <c r="CM373" s="2"/>
      <c r="CN373" s="2"/>
      <c r="CO373" s="2"/>
      <c r="CP373" s="2"/>
      <c r="CQ373" s="2"/>
      <c r="CR373" s="2"/>
      <c r="CS373" s="2"/>
      <c r="CT373" s="2"/>
      <c r="CU373" s="2"/>
      <c r="CV373" s="2"/>
      <c r="CW373" s="2"/>
      <c r="CX373" s="2"/>
      <c r="CY373" s="2"/>
      <c r="CZ373" s="2"/>
      <c r="DA373" s="2"/>
      <c r="DB373" s="2"/>
      <c r="DC373" s="2"/>
      <c r="DD373" s="2"/>
      <c r="DE373" s="2"/>
      <c r="DF373" s="2"/>
    </row>
    <row r="374" spans="1:110" x14ac:dyDescent="0.2">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c r="AA374" s="7"/>
      <c r="AB374" s="7"/>
      <c r="AC374" s="7"/>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2"/>
      <c r="BG374" s="2"/>
      <c r="BH374" s="2"/>
      <c r="BI374" s="2"/>
      <c r="BJ374" s="2"/>
      <c r="BK374" s="2"/>
      <c r="BL374" s="2"/>
      <c r="BM374" s="2"/>
      <c r="BN374" s="2"/>
      <c r="BO374" s="2"/>
      <c r="BP374" s="2"/>
      <c r="BQ374" s="2"/>
      <c r="BR374" s="2"/>
      <c r="BS374" s="2"/>
      <c r="BT374" s="2"/>
      <c r="BU374" s="2"/>
      <c r="BV374" s="2"/>
      <c r="BW374" s="2"/>
      <c r="BX374" s="2"/>
      <c r="BY374" s="2"/>
      <c r="BZ374" s="2"/>
      <c r="CA374" s="2"/>
      <c r="CB374" s="2"/>
      <c r="CC374" s="2"/>
      <c r="CD374" s="2"/>
      <c r="CE374" s="2"/>
      <c r="CF374" s="2"/>
      <c r="CG374" s="2"/>
      <c r="CH374" s="2"/>
      <c r="CI374" s="2"/>
      <c r="CJ374" s="2"/>
      <c r="CK374" s="2"/>
      <c r="CL374" s="2"/>
      <c r="CM374" s="2"/>
      <c r="CN374" s="2"/>
      <c r="CO374" s="2"/>
      <c r="CP374" s="2"/>
      <c r="CQ374" s="2"/>
      <c r="CR374" s="2"/>
      <c r="CS374" s="2"/>
      <c r="CT374" s="2"/>
      <c r="CU374" s="2"/>
      <c r="CV374" s="2"/>
      <c r="CW374" s="2"/>
      <c r="CX374" s="2"/>
      <c r="CY374" s="2"/>
      <c r="CZ374" s="2"/>
      <c r="DA374" s="2"/>
      <c r="DB374" s="2"/>
      <c r="DC374" s="2"/>
      <c r="DD374" s="2"/>
      <c r="DE374" s="2"/>
      <c r="DF374" s="2"/>
    </row>
    <row r="375" spans="1:110" x14ac:dyDescent="0.2">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c r="AA375" s="7"/>
      <c r="AB375" s="7"/>
      <c r="AC375" s="7"/>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c r="BG375" s="2"/>
      <c r="BH375" s="2"/>
      <c r="BI375" s="2"/>
      <c r="BJ375" s="2"/>
      <c r="BK375" s="2"/>
      <c r="BL375" s="2"/>
      <c r="BM375" s="2"/>
      <c r="BN375" s="2"/>
      <c r="BO375" s="2"/>
      <c r="BP375" s="2"/>
      <c r="BQ375" s="2"/>
      <c r="BR375" s="2"/>
      <c r="BS375" s="2"/>
      <c r="BT375" s="2"/>
      <c r="BU375" s="2"/>
      <c r="BV375" s="2"/>
      <c r="BW375" s="2"/>
      <c r="BX375" s="2"/>
      <c r="BY375" s="2"/>
      <c r="BZ375" s="2"/>
      <c r="CA375" s="2"/>
      <c r="CB375" s="2"/>
      <c r="CC375" s="2"/>
      <c r="CD375" s="2"/>
      <c r="CE375" s="2"/>
      <c r="CF375" s="2"/>
      <c r="CG375" s="2"/>
      <c r="CH375" s="2"/>
      <c r="CI375" s="2"/>
      <c r="CJ375" s="2"/>
      <c r="CK375" s="2"/>
      <c r="CL375" s="2"/>
      <c r="CM375" s="2"/>
      <c r="CN375" s="2"/>
      <c r="CO375" s="2"/>
      <c r="CP375" s="2"/>
      <c r="CQ375" s="2"/>
      <c r="CR375" s="2"/>
      <c r="CS375" s="2"/>
      <c r="CT375" s="2"/>
      <c r="CU375" s="2"/>
      <c r="CV375" s="2"/>
      <c r="CW375" s="2"/>
      <c r="CX375" s="2"/>
      <c r="CY375" s="2"/>
      <c r="CZ375" s="2"/>
      <c r="DA375" s="2"/>
      <c r="DB375" s="2"/>
      <c r="DC375" s="2"/>
      <c r="DD375" s="2"/>
      <c r="DE375" s="2"/>
      <c r="DF375" s="2"/>
    </row>
    <row r="376" spans="1:110" x14ac:dyDescent="0.2">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c r="AA376" s="7"/>
      <c r="AB376" s="7"/>
      <c r="AC376" s="7"/>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c r="BH376" s="2"/>
      <c r="BI376" s="2"/>
      <c r="BJ376" s="2"/>
      <c r="BK376" s="2"/>
      <c r="BL376" s="2"/>
      <c r="BM376" s="2"/>
      <c r="BN376" s="2"/>
      <c r="BO376" s="2"/>
      <c r="BP376" s="2"/>
      <c r="BQ376" s="2"/>
      <c r="BR376" s="2"/>
      <c r="BS376" s="2"/>
      <c r="BT376" s="2"/>
      <c r="BU376" s="2"/>
      <c r="BV376" s="2"/>
      <c r="BW376" s="2"/>
      <c r="BX376" s="2"/>
      <c r="BY376" s="2"/>
      <c r="BZ376" s="2"/>
      <c r="CA376" s="2"/>
      <c r="CB376" s="2"/>
      <c r="CC376" s="2"/>
      <c r="CD376" s="2"/>
      <c r="CE376" s="2"/>
      <c r="CF376" s="2"/>
      <c r="CG376" s="2"/>
      <c r="CH376" s="2"/>
      <c r="CI376" s="2"/>
      <c r="CJ376" s="2"/>
      <c r="CK376" s="2"/>
      <c r="CL376" s="2"/>
      <c r="CM376" s="2"/>
      <c r="CN376" s="2"/>
      <c r="CO376" s="2"/>
      <c r="CP376" s="2"/>
      <c r="CQ376" s="2"/>
      <c r="CR376" s="2"/>
      <c r="CS376" s="2"/>
      <c r="CT376" s="2"/>
      <c r="CU376" s="2"/>
      <c r="CV376" s="2"/>
      <c r="CW376" s="2"/>
      <c r="CX376" s="2"/>
      <c r="CY376" s="2"/>
      <c r="CZ376" s="2"/>
      <c r="DA376" s="2"/>
      <c r="DB376" s="2"/>
      <c r="DC376" s="2"/>
      <c r="DD376" s="2"/>
      <c r="DE376" s="2"/>
      <c r="DF376" s="2"/>
    </row>
    <row r="377" spans="1:110" x14ac:dyDescent="0.2">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c r="AA377" s="7"/>
      <c r="AB377" s="7"/>
      <c r="AC377" s="7"/>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c r="BH377" s="2"/>
      <c r="BI377" s="2"/>
      <c r="BJ377" s="2"/>
      <c r="BK377" s="2"/>
      <c r="BL377" s="2"/>
      <c r="BM377" s="2"/>
      <c r="BN377" s="2"/>
      <c r="BO377" s="2"/>
      <c r="BP377" s="2"/>
      <c r="BQ377" s="2"/>
      <c r="BR377" s="2"/>
      <c r="BS377" s="2"/>
      <c r="BT377" s="2"/>
      <c r="BU377" s="2"/>
      <c r="BV377" s="2"/>
      <c r="BW377" s="2"/>
      <c r="BX377" s="2"/>
      <c r="BY377" s="2"/>
      <c r="BZ377" s="2"/>
      <c r="CA377" s="2"/>
      <c r="CB377" s="2"/>
      <c r="CC377" s="2"/>
      <c r="CD377" s="2"/>
      <c r="CE377" s="2"/>
      <c r="CF377" s="2"/>
      <c r="CG377" s="2"/>
      <c r="CH377" s="2"/>
      <c r="CI377" s="2"/>
      <c r="CJ377" s="2"/>
      <c r="CK377" s="2"/>
      <c r="CL377" s="2"/>
      <c r="CM377" s="2"/>
      <c r="CN377" s="2"/>
      <c r="CO377" s="2"/>
      <c r="CP377" s="2"/>
      <c r="CQ377" s="2"/>
      <c r="CR377" s="2"/>
      <c r="CS377" s="2"/>
      <c r="CT377" s="2"/>
      <c r="CU377" s="2"/>
      <c r="CV377" s="2"/>
      <c r="CW377" s="2"/>
      <c r="CX377" s="2"/>
      <c r="CY377" s="2"/>
      <c r="CZ377" s="2"/>
      <c r="DA377" s="2"/>
      <c r="DB377" s="2"/>
      <c r="DC377" s="2"/>
      <c r="DD377" s="2"/>
      <c r="DE377" s="2"/>
      <c r="DF377" s="2"/>
    </row>
    <row r="378" spans="1:110" x14ac:dyDescent="0.2">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c r="AA378" s="7"/>
      <c r="AB378" s="7"/>
      <c r="AC378" s="7"/>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c r="BH378" s="2"/>
      <c r="BI378" s="2"/>
      <c r="BJ378" s="2"/>
      <c r="BK378" s="2"/>
      <c r="BL378" s="2"/>
      <c r="BM378" s="2"/>
      <c r="BN378" s="2"/>
      <c r="BO378" s="2"/>
      <c r="BP378" s="2"/>
      <c r="BQ378" s="2"/>
      <c r="BR378" s="2"/>
      <c r="BS378" s="2"/>
      <c r="BT378" s="2"/>
      <c r="BU378" s="2"/>
      <c r="BV378" s="2"/>
      <c r="BW378" s="2"/>
      <c r="BX378" s="2"/>
      <c r="BY378" s="2"/>
      <c r="BZ378" s="2"/>
      <c r="CA378" s="2"/>
      <c r="CB378" s="2"/>
      <c r="CC378" s="2"/>
      <c r="CD378" s="2"/>
      <c r="CE378" s="2"/>
      <c r="CF378" s="2"/>
      <c r="CG378" s="2"/>
      <c r="CH378" s="2"/>
      <c r="CI378" s="2"/>
      <c r="CJ378" s="2"/>
      <c r="CK378" s="2"/>
      <c r="CL378" s="2"/>
      <c r="CM378" s="2"/>
      <c r="CN378" s="2"/>
      <c r="CO378" s="2"/>
      <c r="CP378" s="2"/>
      <c r="CQ378" s="2"/>
      <c r="CR378" s="2"/>
      <c r="CS378" s="2"/>
      <c r="CT378" s="2"/>
      <c r="CU378" s="2"/>
      <c r="CV378" s="2"/>
      <c r="CW378" s="2"/>
      <c r="CX378" s="2"/>
      <c r="CY378" s="2"/>
      <c r="CZ378" s="2"/>
      <c r="DA378" s="2"/>
      <c r="DB378" s="2"/>
      <c r="DC378" s="2"/>
      <c r="DD378" s="2"/>
      <c r="DE378" s="2"/>
      <c r="DF378" s="2"/>
    </row>
    <row r="379" spans="1:110" x14ac:dyDescent="0.2">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c r="AA379" s="7"/>
      <c r="AB379" s="7"/>
      <c r="AC379" s="7"/>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c r="BG379" s="2"/>
      <c r="BH379" s="2"/>
      <c r="BI379" s="2"/>
      <c r="BJ379" s="2"/>
      <c r="BK379" s="2"/>
      <c r="BL379" s="2"/>
      <c r="BM379" s="2"/>
      <c r="BN379" s="2"/>
      <c r="BO379" s="2"/>
      <c r="BP379" s="2"/>
      <c r="BQ379" s="2"/>
      <c r="BR379" s="2"/>
      <c r="BS379" s="2"/>
      <c r="BT379" s="2"/>
      <c r="BU379" s="2"/>
      <c r="BV379" s="2"/>
      <c r="BW379" s="2"/>
      <c r="BX379" s="2"/>
      <c r="BY379" s="2"/>
      <c r="BZ379" s="2"/>
      <c r="CA379" s="2"/>
      <c r="CB379" s="2"/>
      <c r="CC379" s="2"/>
      <c r="CD379" s="2"/>
      <c r="CE379" s="2"/>
      <c r="CF379" s="2"/>
      <c r="CG379" s="2"/>
      <c r="CH379" s="2"/>
      <c r="CI379" s="2"/>
      <c r="CJ379" s="2"/>
      <c r="CK379" s="2"/>
      <c r="CL379" s="2"/>
      <c r="CM379" s="2"/>
      <c r="CN379" s="2"/>
      <c r="CO379" s="2"/>
      <c r="CP379" s="2"/>
      <c r="CQ379" s="2"/>
      <c r="CR379" s="2"/>
      <c r="CS379" s="2"/>
      <c r="CT379" s="2"/>
      <c r="CU379" s="2"/>
      <c r="CV379" s="2"/>
      <c r="CW379" s="2"/>
      <c r="CX379" s="2"/>
      <c r="CY379" s="2"/>
      <c r="CZ379" s="2"/>
      <c r="DA379" s="2"/>
      <c r="DB379" s="2"/>
      <c r="DC379" s="2"/>
      <c r="DD379" s="2"/>
      <c r="DE379" s="2"/>
      <c r="DF379" s="2"/>
    </row>
    <row r="380" spans="1:110" hidden="1" x14ac:dyDescent="0.2">
      <c r="AC380" s="7"/>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c r="BG380" s="2"/>
      <c r="BH380" s="2"/>
      <c r="BI380" s="2"/>
      <c r="BJ380" s="2"/>
      <c r="BK380" s="2"/>
      <c r="BL380" s="2"/>
      <c r="BM380" s="2"/>
      <c r="BN380" s="2"/>
      <c r="BO380" s="2"/>
      <c r="BP380" s="2"/>
      <c r="BQ380" s="2"/>
      <c r="BR380" s="2"/>
      <c r="BS380" s="2"/>
      <c r="BT380" s="2"/>
      <c r="BU380" s="2"/>
      <c r="BV380" s="2"/>
      <c r="BW380" s="2"/>
      <c r="BX380" s="2"/>
      <c r="BY380" s="2"/>
      <c r="BZ380" s="2"/>
      <c r="CA380" s="2"/>
      <c r="CB380" s="2"/>
      <c r="CC380" s="2"/>
      <c r="CD380" s="2"/>
      <c r="CE380" s="2"/>
      <c r="CF380" s="2"/>
      <c r="CG380" s="2"/>
      <c r="CH380" s="2"/>
      <c r="CI380" s="2"/>
      <c r="CJ380" s="2"/>
      <c r="CK380" s="2"/>
      <c r="CL380" s="2"/>
      <c r="CM380" s="2"/>
      <c r="CN380" s="2"/>
      <c r="CO380" s="2"/>
      <c r="CP380" s="2"/>
      <c r="CQ380" s="2"/>
      <c r="CR380" s="2"/>
      <c r="CS380" s="2"/>
      <c r="CT380" s="2"/>
      <c r="CU380" s="2"/>
      <c r="CV380" s="2"/>
      <c r="CW380" s="2"/>
      <c r="CX380" s="2"/>
      <c r="CY380" s="2"/>
      <c r="CZ380" s="2"/>
      <c r="DA380" s="2"/>
      <c r="DB380" s="2"/>
      <c r="DC380" s="2"/>
      <c r="DD380" s="2"/>
      <c r="DE380" s="2"/>
      <c r="DF380" s="2"/>
    </row>
    <row r="381" spans="1:110" hidden="1" x14ac:dyDescent="0.2">
      <c r="AC381" s="7"/>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c r="BG381" s="2"/>
      <c r="BH381" s="2"/>
      <c r="BI381" s="2"/>
      <c r="BJ381" s="2"/>
      <c r="BK381" s="2"/>
      <c r="BL381" s="2"/>
      <c r="BM381" s="2"/>
      <c r="BN381" s="2"/>
      <c r="BO381" s="2"/>
      <c r="BP381" s="2"/>
      <c r="BQ381" s="2"/>
      <c r="BR381" s="2"/>
      <c r="BS381" s="2"/>
      <c r="BT381" s="2"/>
      <c r="BU381" s="2"/>
      <c r="BV381" s="2"/>
      <c r="BW381" s="2"/>
      <c r="BX381" s="2"/>
      <c r="BY381" s="2"/>
      <c r="BZ381" s="2"/>
      <c r="CA381" s="2"/>
      <c r="CB381" s="2"/>
      <c r="CC381" s="2"/>
      <c r="CD381" s="2"/>
      <c r="CE381" s="2"/>
      <c r="CF381" s="2"/>
      <c r="CG381" s="2"/>
      <c r="CH381" s="2"/>
      <c r="CI381" s="2"/>
      <c r="CJ381" s="2"/>
      <c r="CK381" s="2"/>
      <c r="CL381" s="2"/>
      <c r="CM381" s="2"/>
      <c r="CN381" s="2"/>
      <c r="CO381" s="2"/>
      <c r="CP381" s="2"/>
      <c r="CQ381" s="2"/>
      <c r="CR381" s="2"/>
      <c r="CS381" s="2"/>
      <c r="CT381" s="2"/>
      <c r="CU381" s="2"/>
      <c r="CV381" s="2"/>
      <c r="CW381" s="2"/>
      <c r="CX381" s="2"/>
      <c r="CY381" s="2"/>
      <c r="CZ381" s="2"/>
      <c r="DA381" s="2"/>
      <c r="DB381" s="2"/>
      <c r="DC381" s="2"/>
      <c r="DD381" s="2"/>
      <c r="DE381" s="2"/>
      <c r="DF381" s="2"/>
    </row>
    <row r="382" spans="1:110" hidden="1" x14ac:dyDescent="0.2">
      <c r="AC382" s="7"/>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c r="BG382" s="2"/>
      <c r="BH382" s="2"/>
      <c r="BI382" s="2"/>
      <c r="BJ382" s="2"/>
      <c r="BK382" s="2"/>
      <c r="BL382" s="2"/>
      <c r="BM382" s="2"/>
      <c r="BN382" s="2"/>
      <c r="BO382" s="2"/>
      <c r="BP382" s="2"/>
      <c r="BQ382" s="2"/>
      <c r="BR382" s="2"/>
      <c r="BS382" s="2"/>
      <c r="BT382" s="2"/>
      <c r="BU382" s="2"/>
      <c r="BV382" s="2"/>
      <c r="BW382" s="2"/>
      <c r="BX382" s="2"/>
      <c r="BY382" s="2"/>
      <c r="BZ382" s="2"/>
      <c r="CA382" s="2"/>
      <c r="CB382" s="2"/>
      <c r="CC382" s="2"/>
      <c r="CD382" s="2"/>
      <c r="CE382" s="2"/>
      <c r="CF382" s="2"/>
      <c r="CG382" s="2"/>
      <c r="CH382" s="2"/>
      <c r="CI382" s="2"/>
      <c r="CJ382" s="2"/>
      <c r="CK382" s="2"/>
      <c r="CL382" s="2"/>
      <c r="CM382" s="2"/>
      <c r="CN382" s="2"/>
      <c r="CO382" s="2"/>
      <c r="CP382" s="2"/>
      <c r="CQ382" s="2"/>
      <c r="CR382" s="2"/>
      <c r="CS382" s="2"/>
      <c r="CT382" s="2"/>
      <c r="CU382" s="2"/>
      <c r="CV382" s="2"/>
      <c r="CW382" s="2"/>
      <c r="CX382" s="2"/>
      <c r="CY382" s="2"/>
      <c r="CZ382" s="2"/>
      <c r="DA382" s="2"/>
      <c r="DB382" s="2"/>
      <c r="DC382" s="2"/>
      <c r="DD382" s="2"/>
      <c r="DE382" s="2"/>
      <c r="DF382" s="2"/>
    </row>
    <row r="383" spans="1:110" hidden="1" x14ac:dyDescent="0.2">
      <c r="AC383" s="7"/>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c r="BH383" s="2"/>
      <c r="BI383" s="2"/>
      <c r="BJ383" s="2"/>
      <c r="BK383" s="2"/>
      <c r="BL383" s="2"/>
      <c r="BM383" s="2"/>
      <c r="BN383" s="2"/>
      <c r="BO383" s="2"/>
      <c r="BP383" s="2"/>
      <c r="BQ383" s="2"/>
      <c r="BR383" s="2"/>
      <c r="BS383" s="2"/>
      <c r="BT383" s="2"/>
      <c r="BU383" s="2"/>
      <c r="BV383" s="2"/>
      <c r="BW383" s="2"/>
      <c r="BX383" s="2"/>
      <c r="BY383" s="2"/>
      <c r="BZ383" s="2"/>
      <c r="CA383" s="2"/>
      <c r="CB383" s="2"/>
      <c r="CC383" s="2"/>
      <c r="CD383" s="2"/>
      <c r="CE383" s="2"/>
      <c r="CF383" s="2"/>
      <c r="CG383" s="2"/>
      <c r="CH383" s="2"/>
      <c r="CI383" s="2"/>
      <c r="CJ383" s="2"/>
      <c r="CK383" s="2"/>
      <c r="CL383" s="2"/>
      <c r="CM383" s="2"/>
      <c r="CN383" s="2"/>
      <c r="CO383" s="2"/>
      <c r="CP383" s="2"/>
      <c r="CQ383" s="2"/>
      <c r="CR383" s="2"/>
      <c r="CS383" s="2"/>
      <c r="CT383" s="2"/>
      <c r="CU383" s="2"/>
      <c r="CV383" s="2"/>
      <c r="CW383" s="2"/>
      <c r="CX383" s="2"/>
      <c r="CY383" s="2"/>
      <c r="CZ383" s="2"/>
      <c r="DA383" s="2"/>
      <c r="DB383" s="2"/>
      <c r="DC383" s="2"/>
      <c r="DD383" s="2"/>
      <c r="DE383" s="2"/>
      <c r="DF383" s="2"/>
    </row>
    <row r="384" spans="1:110" hidden="1" x14ac:dyDescent="0.2">
      <c r="AC384" s="7"/>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2"/>
      <c r="BJ384" s="2"/>
      <c r="BK384" s="2"/>
      <c r="BL384" s="2"/>
      <c r="BM384" s="2"/>
      <c r="BN384" s="2"/>
      <c r="BO384" s="2"/>
      <c r="BP384" s="2"/>
      <c r="BQ384" s="2"/>
      <c r="BR384" s="2"/>
      <c r="BS384" s="2"/>
      <c r="BT384" s="2"/>
      <c r="BU384" s="2"/>
      <c r="BV384" s="2"/>
      <c r="BW384" s="2"/>
      <c r="BX384" s="2"/>
      <c r="BY384" s="2"/>
      <c r="BZ384" s="2"/>
      <c r="CA384" s="2"/>
      <c r="CB384" s="2"/>
      <c r="CC384" s="2"/>
      <c r="CD384" s="2"/>
      <c r="CE384" s="2"/>
      <c r="CF384" s="2"/>
      <c r="CG384" s="2"/>
      <c r="CH384" s="2"/>
      <c r="CI384" s="2"/>
      <c r="CJ384" s="2"/>
      <c r="CK384" s="2"/>
      <c r="CL384" s="2"/>
      <c r="CM384" s="2"/>
      <c r="CN384" s="2"/>
      <c r="CO384" s="2"/>
      <c r="CP384" s="2"/>
      <c r="CQ384" s="2"/>
      <c r="CR384" s="2"/>
      <c r="CS384" s="2"/>
      <c r="CT384" s="2"/>
      <c r="CU384" s="2"/>
      <c r="CV384" s="2"/>
      <c r="CW384" s="2"/>
      <c r="CX384" s="2"/>
      <c r="CY384" s="2"/>
      <c r="CZ384" s="2"/>
      <c r="DA384" s="2"/>
      <c r="DB384" s="2"/>
      <c r="DC384" s="2"/>
      <c r="DD384" s="2"/>
      <c r="DE384" s="2"/>
      <c r="DF384" s="2"/>
    </row>
    <row r="385" spans="29:110" hidden="1" x14ac:dyDescent="0.2">
      <c r="AC385" s="7"/>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2"/>
      <c r="BJ385" s="2"/>
      <c r="BK385" s="2"/>
      <c r="BL385" s="2"/>
      <c r="BM385" s="2"/>
      <c r="BN385" s="2"/>
      <c r="BO385" s="2"/>
      <c r="BP385" s="2"/>
      <c r="BQ385" s="2"/>
      <c r="BR385" s="2"/>
      <c r="BS385" s="2"/>
      <c r="BT385" s="2"/>
      <c r="BU385" s="2"/>
      <c r="BV385" s="2"/>
      <c r="BW385" s="2"/>
      <c r="BX385" s="2"/>
      <c r="BY385" s="2"/>
      <c r="BZ385" s="2"/>
      <c r="CA385" s="2"/>
      <c r="CB385" s="2"/>
      <c r="CC385" s="2"/>
      <c r="CD385" s="2"/>
      <c r="CE385" s="2"/>
      <c r="CF385" s="2"/>
      <c r="CG385" s="2"/>
      <c r="CH385" s="2"/>
      <c r="CI385" s="2"/>
      <c r="CJ385" s="2"/>
      <c r="CK385" s="2"/>
      <c r="CL385" s="2"/>
      <c r="CM385" s="2"/>
      <c r="CN385" s="2"/>
      <c r="CO385" s="2"/>
      <c r="CP385" s="2"/>
      <c r="CQ385" s="2"/>
      <c r="CR385" s="2"/>
      <c r="CS385" s="2"/>
      <c r="CT385" s="2"/>
      <c r="CU385" s="2"/>
      <c r="CV385" s="2"/>
      <c r="CW385" s="2"/>
      <c r="CX385" s="2"/>
      <c r="CY385" s="2"/>
      <c r="CZ385" s="2"/>
      <c r="DA385" s="2"/>
      <c r="DB385" s="2"/>
      <c r="DC385" s="2"/>
      <c r="DD385" s="2"/>
      <c r="DE385" s="2"/>
      <c r="DF385" s="2"/>
    </row>
    <row r="386" spans="29:110" hidden="1" x14ac:dyDescent="0.2">
      <c r="AC386" s="7"/>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c r="BH386" s="2"/>
      <c r="BI386" s="2"/>
      <c r="BJ386" s="2"/>
      <c r="BK386" s="2"/>
      <c r="BL386" s="2"/>
      <c r="BM386" s="2"/>
      <c r="BN386" s="2"/>
      <c r="BO386" s="2"/>
      <c r="BP386" s="2"/>
      <c r="BQ386" s="2"/>
      <c r="BR386" s="2"/>
      <c r="BS386" s="2"/>
      <c r="BT386" s="2"/>
      <c r="BU386" s="2"/>
      <c r="BV386" s="2"/>
      <c r="BW386" s="2"/>
      <c r="BX386" s="2"/>
      <c r="BY386" s="2"/>
      <c r="BZ386" s="2"/>
      <c r="CA386" s="2"/>
      <c r="CB386" s="2"/>
      <c r="CC386" s="2"/>
      <c r="CD386" s="2"/>
      <c r="CE386" s="2"/>
      <c r="CF386" s="2"/>
      <c r="CG386" s="2"/>
      <c r="CH386" s="2"/>
      <c r="CI386" s="2"/>
      <c r="CJ386" s="2"/>
      <c r="CK386" s="2"/>
      <c r="CL386" s="2"/>
      <c r="CM386" s="2"/>
      <c r="CN386" s="2"/>
      <c r="CO386" s="2"/>
      <c r="CP386" s="2"/>
      <c r="CQ386" s="2"/>
      <c r="CR386" s="2"/>
      <c r="CS386" s="2"/>
      <c r="CT386" s="2"/>
      <c r="CU386" s="2"/>
      <c r="CV386" s="2"/>
      <c r="CW386" s="2"/>
      <c r="CX386" s="2"/>
      <c r="CY386" s="2"/>
      <c r="CZ386" s="2"/>
      <c r="DA386" s="2"/>
      <c r="DB386" s="2"/>
      <c r="DC386" s="2"/>
      <c r="DD386" s="2"/>
      <c r="DE386" s="2"/>
      <c r="DF386" s="2"/>
    </row>
    <row r="387" spans="29:110" hidden="1" x14ac:dyDescent="0.2">
      <c r="AC387" s="7"/>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c r="BH387" s="2"/>
      <c r="BI387" s="2"/>
      <c r="BJ387" s="2"/>
      <c r="BK387" s="2"/>
      <c r="BL387" s="2"/>
      <c r="BM387" s="2"/>
      <c r="BN387" s="2"/>
      <c r="BO387" s="2"/>
      <c r="BP387" s="2"/>
      <c r="BQ387" s="2"/>
      <c r="BR387" s="2"/>
      <c r="BS387" s="2"/>
      <c r="BT387" s="2"/>
      <c r="BU387" s="2"/>
      <c r="BV387" s="2"/>
      <c r="BW387" s="2"/>
      <c r="BX387" s="2"/>
      <c r="BY387" s="2"/>
      <c r="BZ387" s="2"/>
      <c r="CA387" s="2"/>
      <c r="CB387" s="2"/>
      <c r="CC387" s="2"/>
      <c r="CD387" s="2"/>
      <c r="CE387" s="2"/>
      <c r="CF387" s="2"/>
      <c r="CG387" s="2"/>
      <c r="CH387" s="2"/>
      <c r="CI387" s="2"/>
      <c r="CJ387" s="2"/>
      <c r="CK387" s="2"/>
      <c r="CL387" s="2"/>
      <c r="CM387" s="2"/>
      <c r="CN387" s="2"/>
      <c r="CO387" s="2"/>
      <c r="CP387" s="2"/>
      <c r="CQ387" s="2"/>
      <c r="CR387" s="2"/>
      <c r="CS387" s="2"/>
      <c r="CT387" s="2"/>
      <c r="CU387" s="2"/>
      <c r="CV387" s="2"/>
      <c r="CW387" s="2"/>
      <c r="CX387" s="2"/>
      <c r="CY387" s="2"/>
      <c r="CZ387" s="2"/>
      <c r="DA387" s="2"/>
      <c r="DB387" s="2"/>
      <c r="DC387" s="2"/>
      <c r="DD387" s="2"/>
      <c r="DE387" s="2"/>
      <c r="DF387" s="2"/>
    </row>
    <row r="388" spans="29:110" hidden="1" x14ac:dyDescent="0.2">
      <c r="AC388" s="7"/>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c r="BG388" s="2"/>
      <c r="BH388" s="2"/>
      <c r="BI388" s="2"/>
      <c r="BJ388" s="2"/>
      <c r="BK388" s="2"/>
      <c r="BL388" s="2"/>
      <c r="BM388" s="2"/>
      <c r="BN388" s="2"/>
      <c r="BO388" s="2"/>
      <c r="BP388" s="2"/>
      <c r="BQ388" s="2"/>
      <c r="BR388" s="2"/>
      <c r="BS388" s="2"/>
      <c r="BT388" s="2"/>
      <c r="BU388" s="2"/>
      <c r="BV388" s="2"/>
      <c r="BW388" s="2"/>
      <c r="BX388" s="2"/>
      <c r="BY388" s="2"/>
      <c r="BZ388" s="2"/>
      <c r="CA388" s="2"/>
      <c r="CB388" s="2"/>
      <c r="CC388" s="2"/>
      <c r="CD388" s="2"/>
      <c r="CE388" s="2"/>
      <c r="CF388" s="2"/>
      <c r="CG388" s="2"/>
      <c r="CH388" s="2"/>
      <c r="CI388" s="2"/>
      <c r="CJ388" s="2"/>
      <c r="CK388" s="2"/>
      <c r="CL388" s="2"/>
      <c r="CM388" s="2"/>
      <c r="CN388" s="2"/>
      <c r="CO388" s="2"/>
      <c r="CP388" s="2"/>
      <c r="CQ388" s="2"/>
      <c r="CR388" s="2"/>
      <c r="CS388" s="2"/>
      <c r="CT388" s="2"/>
      <c r="CU388" s="2"/>
      <c r="CV388" s="2"/>
      <c r="CW388" s="2"/>
      <c r="CX388" s="2"/>
      <c r="CY388" s="2"/>
      <c r="CZ388" s="2"/>
      <c r="DA388" s="2"/>
      <c r="DB388" s="2"/>
      <c r="DC388" s="2"/>
      <c r="DD388" s="2"/>
      <c r="DE388" s="2"/>
      <c r="DF388" s="2"/>
    </row>
    <row r="389" spans="29:110" hidden="1" x14ac:dyDescent="0.2">
      <c r="AC389" s="7"/>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c r="BG389" s="2"/>
      <c r="BH389" s="2"/>
      <c r="BI389" s="2"/>
      <c r="BJ389" s="2"/>
      <c r="BK389" s="2"/>
      <c r="BL389" s="2"/>
      <c r="BM389" s="2"/>
      <c r="BN389" s="2"/>
      <c r="BO389" s="2"/>
      <c r="BP389" s="2"/>
      <c r="BQ389" s="2"/>
      <c r="BR389" s="2"/>
      <c r="BS389" s="2"/>
      <c r="BT389" s="2"/>
      <c r="BU389" s="2"/>
      <c r="BV389" s="2"/>
      <c r="BW389" s="2"/>
      <c r="BX389" s="2"/>
      <c r="BY389" s="2"/>
      <c r="BZ389" s="2"/>
      <c r="CA389" s="2"/>
      <c r="CB389" s="2"/>
      <c r="CC389" s="2"/>
      <c r="CD389" s="2"/>
      <c r="CE389" s="2"/>
      <c r="CF389" s="2"/>
      <c r="CG389" s="2"/>
      <c r="CH389" s="2"/>
      <c r="CI389" s="2"/>
      <c r="CJ389" s="2"/>
      <c r="CK389" s="2"/>
      <c r="CL389" s="2"/>
      <c r="CM389" s="2"/>
      <c r="CN389" s="2"/>
      <c r="CO389" s="2"/>
      <c r="CP389" s="2"/>
      <c r="CQ389" s="2"/>
      <c r="CR389" s="2"/>
      <c r="CS389" s="2"/>
      <c r="CT389" s="2"/>
      <c r="CU389" s="2"/>
      <c r="CV389" s="2"/>
      <c r="CW389" s="2"/>
      <c r="CX389" s="2"/>
      <c r="CY389" s="2"/>
      <c r="CZ389" s="2"/>
      <c r="DA389" s="2"/>
      <c r="DB389" s="2"/>
      <c r="DC389" s="2"/>
      <c r="DD389" s="2"/>
      <c r="DE389" s="2"/>
      <c r="DF389" s="2"/>
    </row>
    <row r="390" spans="29:110" hidden="1" x14ac:dyDescent="0.2">
      <c r="AC390" s="7"/>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c r="BF390" s="2"/>
      <c r="BG390" s="2"/>
      <c r="BH390" s="2"/>
      <c r="BI390" s="2"/>
      <c r="BJ390" s="2"/>
      <c r="BK390" s="2"/>
      <c r="BL390" s="2"/>
      <c r="BM390" s="2"/>
      <c r="BN390" s="2"/>
      <c r="BO390" s="2"/>
      <c r="BP390" s="2"/>
      <c r="BQ390" s="2"/>
      <c r="BR390" s="2"/>
      <c r="BS390" s="2"/>
      <c r="BT390" s="2"/>
      <c r="BU390" s="2"/>
      <c r="BV390" s="2"/>
      <c r="BW390" s="2"/>
      <c r="BX390" s="2"/>
      <c r="BY390" s="2"/>
      <c r="BZ390" s="2"/>
      <c r="CA390" s="2"/>
      <c r="CB390" s="2"/>
      <c r="CC390" s="2"/>
      <c r="CD390" s="2"/>
      <c r="CE390" s="2"/>
      <c r="CF390" s="2"/>
      <c r="CG390" s="2"/>
      <c r="CH390" s="2"/>
      <c r="CI390" s="2"/>
      <c r="CJ390" s="2"/>
      <c r="CK390" s="2"/>
      <c r="CL390" s="2"/>
      <c r="CM390" s="2"/>
      <c r="CN390" s="2"/>
      <c r="CO390" s="2"/>
      <c r="CP390" s="2"/>
      <c r="CQ390" s="2"/>
      <c r="CR390" s="2"/>
      <c r="CS390" s="2"/>
      <c r="CT390" s="2"/>
      <c r="CU390" s="2"/>
      <c r="CV390" s="2"/>
      <c r="CW390" s="2"/>
      <c r="CX390" s="2"/>
      <c r="CY390" s="2"/>
      <c r="CZ390" s="2"/>
      <c r="DA390" s="2"/>
      <c r="DB390" s="2"/>
      <c r="DC390" s="2"/>
      <c r="DD390" s="2"/>
      <c r="DE390" s="2"/>
      <c r="DF390" s="2"/>
    </row>
    <row r="391" spans="29:110" hidden="1" x14ac:dyDescent="0.2">
      <c r="AC391" s="7"/>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2"/>
      <c r="BF391" s="2"/>
      <c r="BG391" s="2"/>
      <c r="BH391" s="2"/>
      <c r="BI391" s="2"/>
      <c r="BJ391" s="2"/>
      <c r="BK391" s="2"/>
      <c r="BL391" s="2"/>
      <c r="BM391" s="2"/>
      <c r="BN391" s="2"/>
      <c r="BO391" s="2"/>
      <c r="BP391" s="2"/>
      <c r="BQ391" s="2"/>
      <c r="BR391" s="2"/>
      <c r="BS391" s="2"/>
      <c r="BT391" s="2"/>
      <c r="BU391" s="2"/>
      <c r="BV391" s="2"/>
      <c r="BW391" s="2"/>
      <c r="BX391" s="2"/>
      <c r="BY391" s="2"/>
      <c r="BZ391" s="2"/>
      <c r="CA391" s="2"/>
      <c r="CB391" s="2"/>
      <c r="CC391" s="2"/>
      <c r="CD391" s="2"/>
      <c r="CE391" s="2"/>
      <c r="CF391" s="2"/>
      <c r="CG391" s="2"/>
      <c r="CH391" s="2"/>
      <c r="CI391" s="2"/>
      <c r="CJ391" s="2"/>
      <c r="CK391" s="2"/>
      <c r="CL391" s="2"/>
      <c r="CM391" s="2"/>
      <c r="CN391" s="2"/>
      <c r="CO391" s="2"/>
      <c r="CP391" s="2"/>
      <c r="CQ391" s="2"/>
      <c r="CR391" s="2"/>
      <c r="CS391" s="2"/>
      <c r="CT391" s="2"/>
      <c r="CU391" s="2"/>
      <c r="CV391" s="2"/>
      <c r="CW391" s="2"/>
      <c r="CX391" s="2"/>
      <c r="CY391" s="2"/>
      <c r="CZ391" s="2"/>
      <c r="DA391" s="2"/>
      <c r="DB391" s="2"/>
      <c r="DC391" s="2"/>
      <c r="DD391" s="2"/>
      <c r="DE391" s="2"/>
      <c r="DF391" s="2"/>
    </row>
    <row r="392" spans="29:110" hidden="1" x14ac:dyDescent="0.2">
      <c r="AC392" s="7"/>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2"/>
      <c r="BG392" s="2"/>
      <c r="BH392" s="2"/>
      <c r="BI392" s="2"/>
      <c r="BJ392" s="2"/>
      <c r="BK392" s="2"/>
      <c r="BL392" s="2"/>
      <c r="BM392" s="2"/>
      <c r="BN392" s="2"/>
      <c r="BO392" s="2"/>
      <c r="BP392" s="2"/>
      <c r="BQ392" s="2"/>
      <c r="BR392" s="2"/>
      <c r="BS392" s="2"/>
      <c r="BT392" s="2"/>
      <c r="BU392" s="2"/>
      <c r="BV392" s="2"/>
      <c r="BW392" s="2"/>
      <c r="BX392" s="2"/>
      <c r="BY392" s="2"/>
      <c r="BZ392" s="2"/>
      <c r="CA392" s="2"/>
      <c r="CB392" s="2"/>
      <c r="CC392" s="2"/>
      <c r="CD392" s="2"/>
      <c r="CE392" s="2"/>
      <c r="CF392" s="2"/>
      <c r="CG392" s="2"/>
      <c r="CH392" s="2"/>
      <c r="CI392" s="2"/>
      <c r="CJ392" s="2"/>
      <c r="CK392" s="2"/>
      <c r="CL392" s="2"/>
      <c r="CM392" s="2"/>
      <c r="CN392" s="2"/>
      <c r="CO392" s="2"/>
      <c r="CP392" s="2"/>
      <c r="CQ392" s="2"/>
      <c r="CR392" s="2"/>
      <c r="CS392" s="2"/>
      <c r="CT392" s="2"/>
      <c r="CU392" s="2"/>
      <c r="CV392" s="2"/>
      <c r="CW392" s="2"/>
      <c r="CX392" s="2"/>
      <c r="CY392" s="2"/>
      <c r="CZ392" s="2"/>
      <c r="DA392" s="2"/>
      <c r="DB392" s="2"/>
      <c r="DC392" s="2"/>
      <c r="DD392" s="2"/>
      <c r="DE392" s="2"/>
      <c r="DF392" s="2"/>
    </row>
    <row r="393" spans="29:110" hidden="1" x14ac:dyDescent="0.2">
      <c r="AC393" s="7"/>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c r="BG393" s="2"/>
      <c r="BH393" s="2"/>
      <c r="BI393" s="2"/>
      <c r="BJ393" s="2"/>
      <c r="BK393" s="2"/>
      <c r="BL393" s="2"/>
      <c r="BM393" s="2"/>
      <c r="BN393" s="2"/>
      <c r="BO393" s="2"/>
      <c r="BP393" s="2"/>
      <c r="BQ393" s="2"/>
      <c r="BR393" s="2"/>
      <c r="BS393" s="2"/>
      <c r="BT393" s="2"/>
      <c r="BU393" s="2"/>
      <c r="BV393" s="2"/>
      <c r="BW393" s="2"/>
      <c r="BX393" s="2"/>
      <c r="BY393" s="2"/>
      <c r="BZ393" s="2"/>
      <c r="CA393" s="2"/>
      <c r="CB393" s="2"/>
      <c r="CC393" s="2"/>
      <c r="CD393" s="2"/>
      <c r="CE393" s="2"/>
      <c r="CF393" s="2"/>
      <c r="CG393" s="2"/>
      <c r="CH393" s="2"/>
      <c r="CI393" s="2"/>
      <c r="CJ393" s="2"/>
      <c r="CK393" s="2"/>
      <c r="CL393" s="2"/>
      <c r="CM393" s="2"/>
      <c r="CN393" s="2"/>
      <c r="CO393" s="2"/>
      <c r="CP393" s="2"/>
      <c r="CQ393" s="2"/>
      <c r="CR393" s="2"/>
      <c r="CS393" s="2"/>
      <c r="CT393" s="2"/>
      <c r="CU393" s="2"/>
      <c r="CV393" s="2"/>
      <c r="CW393" s="2"/>
      <c r="CX393" s="2"/>
      <c r="CY393" s="2"/>
      <c r="CZ393" s="2"/>
      <c r="DA393" s="2"/>
      <c r="DB393" s="2"/>
      <c r="DC393" s="2"/>
      <c r="DD393" s="2"/>
      <c r="DE393" s="2"/>
      <c r="DF393" s="2"/>
    </row>
    <row r="394" spans="29:110" hidden="1" x14ac:dyDescent="0.2">
      <c r="AC394" s="7"/>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c r="BG394" s="2"/>
      <c r="BH394" s="2"/>
      <c r="BI394" s="2"/>
      <c r="BJ394" s="2"/>
      <c r="BK394" s="2"/>
      <c r="BL394" s="2"/>
      <c r="BM394" s="2"/>
      <c r="BN394" s="2"/>
      <c r="BO394" s="2"/>
      <c r="BP394" s="2"/>
      <c r="BQ394" s="2"/>
      <c r="BR394" s="2"/>
      <c r="BS394" s="2"/>
      <c r="BT394" s="2"/>
      <c r="BU394" s="2"/>
      <c r="BV394" s="2"/>
      <c r="BW394" s="2"/>
      <c r="BX394" s="2"/>
      <c r="BY394" s="2"/>
      <c r="BZ394" s="2"/>
      <c r="CA394" s="2"/>
      <c r="CB394" s="2"/>
      <c r="CC394" s="2"/>
      <c r="CD394" s="2"/>
      <c r="CE394" s="2"/>
      <c r="CF394" s="2"/>
      <c r="CG394" s="2"/>
      <c r="CH394" s="2"/>
      <c r="CI394" s="2"/>
      <c r="CJ394" s="2"/>
      <c r="CK394" s="2"/>
      <c r="CL394" s="2"/>
      <c r="CM394" s="2"/>
      <c r="CN394" s="2"/>
      <c r="CO394" s="2"/>
      <c r="CP394" s="2"/>
      <c r="CQ394" s="2"/>
      <c r="CR394" s="2"/>
      <c r="CS394" s="2"/>
      <c r="CT394" s="2"/>
      <c r="CU394" s="2"/>
      <c r="CV394" s="2"/>
      <c r="CW394" s="2"/>
      <c r="CX394" s="2"/>
      <c r="CY394" s="2"/>
      <c r="CZ394" s="2"/>
      <c r="DA394" s="2"/>
      <c r="DB394" s="2"/>
      <c r="DC394" s="2"/>
      <c r="DD394" s="2"/>
      <c r="DE394" s="2"/>
      <c r="DF394" s="2"/>
    </row>
    <row r="395" spans="29:110" hidden="1" x14ac:dyDescent="0.2">
      <c r="AC395" s="7"/>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c r="BG395" s="2"/>
      <c r="BH395" s="2"/>
      <c r="BI395" s="2"/>
      <c r="BJ395" s="2"/>
      <c r="BK395" s="2"/>
      <c r="BL395" s="2"/>
      <c r="BM395" s="2"/>
      <c r="BN395" s="2"/>
      <c r="BO395" s="2"/>
      <c r="BP395" s="2"/>
      <c r="BQ395" s="2"/>
      <c r="BR395" s="2"/>
      <c r="BS395" s="2"/>
      <c r="BT395" s="2"/>
      <c r="BU395" s="2"/>
      <c r="BV395" s="2"/>
      <c r="BW395" s="2"/>
      <c r="BX395" s="2"/>
      <c r="BY395" s="2"/>
      <c r="BZ395" s="2"/>
      <c r="CA395" s="2"/>
      <c r="CB395" s="2"/>
      <c r="CC395" s="2"/>
      <c r="CD395" s="2"/>
      <c r="CE395" s="2"/>
      <c r="CF395" s="2"/>
      <c r="CG395" s="2"/>
      <c r="CH395" s="2"/>
      <c r="CI395" s="2"/>
      <c r="CJ395" s="2"/>
      <c r="CK395" s="2"/>
      <c r="CL395" s="2"/>
      <c r="CM395" s="2"/>
      <c r="CN395" s="2"/>
      <c r="CO395" s="2"/>
      <c r="CP395" s="2"/>
      <c r="CQ395" s="2"/>
      <c r="CR395" s="2"/>
      <c r="CS395" s="2"/>
      <c r="CT395" s="2"/>
      <c r="CU395" s="2"/>
      <c r="CV395" s="2"/>
      <c r="CW395" s="2"/>
      <c r="CX395" s="2"/>
      <c r="CY395" s="2"/>
      <c r="CZ395" s="2"/>
      <c r="DA395" s="2"/>
      <c r="DB395" s="2"/>
      <c r="DC395" s="2"/>
      <c r="DD395" s="2"/>
      <c r="DE395" s="2"/>
      <c r="DF395" s="2"/>
    </row>
    <row r="396" spans="29:110" hidden="1" x14ac:dyDescent="0.2">
      <c r="AC396" s="7"/>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2"/>
      <c r="BJ396" s="2"/>
      <c r="BK396" s="2"/>
      <c r="BL396" s="2"/>
      <c r="BM396" s="2"/>
      <c r="BN396" s="2"/>
      <c r="BO396" s="2"/>
      <c r="BP396" s="2"/>
      <c r="BQ396" s="2"/>
      <c r="BR396" s="2"/>
      <c r="BS396" s="2"/>
      <c r="BT396" s="2"/>
      <c r="BU396" s="2"/>
      <c r="BV396" s="2"/>
      <c r="BW396" s="2"/>
      <c r="BX396" s="2"/>
      <c r="BY396" s="2"/>
      <c r="BZ396" s="2"/>
      <c r="CA396" s="2"/>
      <c r="CB396" s="2"/>
      <c r="CC396" s="2"/>
      <c r="CD396" s="2"/>
      <c r="CE396" s="2"/>
      <c r="CF396" s="2"/>
      <c r="CG396" s="2"/>
      <c r="CH396" s="2"/>
      <c r="CI396" s="2"/>
      <c r="CJ396" s="2"/>
      <c r="CK396" s="2"/>
      <c r="CL396" s="2"/>
      <c r="CM396" s="2"/>
      <c r="CN396" s="2"/>
      <c r="CO396" s="2"/>
      <c r="CP396" s="2"/>
      <c r="CQ396" s="2"/>
      <c r="CR396" s="2"/>
      <c r="CS396" s="2"/>
      <c r="CT396" s="2"/>
      <c r="CU396" s="2"/>
      <c r="CV396" s="2"/>
      <c r="CW396" s="2"/>
      <c r="CX396" s="2"/>
      <c r="CY396" s="2"/>
      <c r="CZ396" s="2"/>
      <c r="DA396" s="2"/>
      <c r="DB396" s="2"/>
      <c r="DC396" s="2"/>
      <c r="DD396" s="2"/>
      <c r="DE396" s="2"/>
      <c r="DF396" s="2"/>
    </row>
    <row r="397" spans="29:110" hidden="1" x14ac:dyDescent="0.2">
      <c r="AC397" s="7"/>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c r="BH397" s="2"/>
      <c r="BI397" s="2"/>
      <c r="BJ397" s="2"/>
      <c r="BK397" s="2"/>
      <c r="BL397" s="2"/>
      <c r="BM397" s="2"/>
      <c r="BN397" s="2"/>
      <c r="BO397" s="2"/>
      <c r="BP397" s="2"/>
      <c r="BQ397" s="2"/>
      <c r="BR397" s="2"/>
      <c r="BS397" s="2"/>
      <c r="BT397" s="2"/>
      <c r="BU397" s="2"/>
      <c r="BV397" s="2"/>
      <c r="BW397" s="2"/>
      <c r="BX397" s="2"/>
      <c r="BY397" s="2"/>
      <c r="BZ397" s="2"/>
      <c r="CA397" s="2"/>
      <c r="CB397" s="2"/>
      <c r="CC397" s="2"/>
      <c r="CD397" s="2"/>
      <c r="CE397" s="2"/>
      <c r="CF397" s="2"/>
      <c r="CG397" s="2"/>
      <c r="CH397" s="2"/>
      <c r="CI397" s="2"/>
      <c r="CJ397" s="2"/>
      <c r="CK397" s="2"/>
      <c r="CL397" s="2"/>
      <c r="CM397" s="2"/>
      <c r="CN397" s="2"/>
      <c r="CO397" s="2"/>
      <c r="CP397" s="2"/>
      <c r="CQ397" s="2"/>
      <c r="CR397" s="2"/>
      <c r="CS397" s="2"/>
      <c r="CT397" s="2"/>
      <c r="CU397" s="2"/>
      <c r="CV397" s="2"/>
      <c r="CW397" s="2"/>
      <c r="CX397" s="2"/>
      <c r="CY397" s="2"/>
      <c r="CZ397" s="2"/>
      <c r="DA397" s="2"/>
      <c r="DB397" s="2"/>
      <c r="DC397" s="2"/>
      <c r="DD397" s="2"/>
      <c r="DE397" s="2"/>
      <c r="DF397" s="2"/>
    </row>
    <row r="398" spans="29:110" hidden="1" x14ac:dyDescent="0.2">
      <c r="AC398" s="7"/>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c r="BG398" s="2"/>
      <c r="BH398" s="2"/>
      <c r="BI398" s="2"/>
      <c r="BJ398" s="2"/>
      <c r="BK398" s="2"/>
      <c r="BL398" s="2"/>
      <c r="BM398" s="2"/>
      <c r="BN398" s="2"/>
      <c r="BO398" s="2"/>
      <c r="BP398" s="2"/>
      <c r="BQ398" s="2"/>
      <c r="BR398" s="2"/>
      <c r="BS398" s="2"/>
      <c r="BT398" s="2"/>
      <c r="BU398" s="2"/>
      <c r="BV398" s="2"/>
      <c r="BW398" s="2"/>
      <c r="BX398" s="2"/>
      <c r="BY398" s="2"/>
      <c r="BZ398" s="2"/>
      <c r="CA398" s="2"/>
      <c r="CB398" s="2"/>
      <c r="CC398" s="2"/>
      <c r="CD398" s="2"/>
      <c r="CE398" s="2"/>
      <c r="CF398" s="2"/>
      <c r="CG398" s="2"/>
      <c r="CH398" s="2"/>
      <c r="CI398" s="2"/>
      <c r="CJ398" s="2"/>
      <c r="CK398" s="2"/>
      <c r="CL398" s="2"/>
      <c r="CM398" s="2"/>
      <c r="CN398" s="2"/>
      <c r="CO398" s="2"/>
      <c r="CP398" s="2"/>
      <c r="CQ398" s="2"/>
      <c r="CR398" s="2"/>
      <c r="CS398" s="2"/>
      <c r="CT398" s="2"/>
      <c r="CU398" s="2"/>
      <c r="CV398" s="2"/>
      <c r="CW398" s="2"/>
      <c r="CX398" s="2"/>
      <c r="CY398" s="2"/>
      <c r="CZ398" s="2"/>
      <c r="DA398" s="2"/>
      <c r="DB398" s="2"/>
      <c r="DC398" s="2"/>
      <c r="DD398" s="2"/>
      <c r="DE398" s="2"/>
      <c r="DF398" s="2"/>
    </row>
    <row r="399" spans="29:110" hidden="1" x14ac:dyDescent="0.2">
      <c r="AC399" s="7"/>
      <c r="AD399" s="2"/>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2"/>
      <c r="BF399" s="2"/>
      <c r="BG399" s="2"/>
      <c r="BH399" s="2"/>
      <c r="BI399" s="2"/>
      <c r="BJ399" s="2"/>
      <c r="BK399" s="2"/>
      <c r="BL399" s="2"/>
      <c r="BM399" s="2"/>
      <c r="BN399" s="2"/>
      <c r="BO399" s="2"/>
      <c r="BP399" s="2"/>
      <c r="BQ399" s="2"/>
      <c r="BR399" s="2"/>
      <c r="BS399" s="2"/>
      <c r="BT399" s="2"/>
      <c r="BU399" s="2"/>
      <c r="BV399" s="2"/>
      <c r="BW399" s="2"/>
      <c r="BX399" s="2"/>
      <c r="BY399" s="2"/>
      <c r="BZ399" s="2"/>
      <c r="CA399" s="2"/>
      <c r="CB399" s="2"/>
      <c r="CC399" s="2"/>
      <c r="CD399" s="2"/>
      <c r="CE399" s="2"/>
      <c r="CF399" s="2"/>
      <c r="CG399" s="2"/>
      <c r="CH399" s="2"/>
      <c r="CI399" s="2"/>
      <c r="CJ399" s="2"/>
      <c r="CK399" s="2"/>
      <c r="CL399" s="2"/>
      <c r="CM399" s="2"/>
      <c r="CN399" s="2"/>
      <c r="CO399" s="2"/>
      <c r="CP399" s="2"/>
      <c r="CQ399" s="2"/>
      <c r="CR399" s="2"/>
      <c r="CS399" s="2"/>
      <c r="CT399" s="2"/>
      <c r="CU399" s="2"/>
      <c r="CV399" s="2"/>
      <c r="CW399" s="2"/>
      <c r="CX399" s="2"/>
      <c r="CY399" s="2"/>
      <c r="CZ399" s="2"/>
      <c r="DA399" s="2"/>
      <c r="DB399" s="2"/>
      <c r="DC399" s="2"/>
      <c r="DD399" s="2"/>
      <c r="DE399" s="2"/>
      <c r="DF399" s="2"/>
    </row>
    <row r="400" spans="29:110" hidden="1" x14ac:dyDescent="0.2">
      <c r="AC400" s="7"/>
      <c r="AD400" s="2"/>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c r="BC400" s="2"/>
      <c r="BD400" s="2"/>
      <c r="BE400" s="2"/>
      <c r="BF400" s="2"/>
      <c r="BG400" s="2"/>
      <c r="BH400" s="2"/>
      <c r="BI400" s="2"/>
      <c r="BJ400" s="2"/>
      <c r="BK400" s="2"/>
      <c r="BL400" s="2"/>
      <c r="BM400" s="2"/>
      <c r="BN400" s="2"/>
      <c r="BO400" s="2"/>
      <c r="BP400" s="2"/>
      <c r="BQ400" s="2"/>
      <c r="BR400" s="2"/>
      <c r="BS400" s="2"/>
      <c r="BT400" s="2"/>
      <c r="BU400" s="2"/>
      <c r="BV400" s="2"/>
      <c r="BW400" s="2"/>
      <c r="BX400" s="2"/>
      <c r="BY400" s="2"/>
      <c r="BZ400" s="2"/>
      <c r="CA400" s="2"/>
      <c r="CB400" s="2"/>
      <c r="CC400" s="2"/>
      <c r="CD400" s="2"/>
      <c r="CE400" s="2"/>
      <c r="CF400" s="2"/>
      <c r="CG400" s="2"/>
      <c r="CH400" s="2"/>
      <c r="CI400" s="2"/>
      <c r="CJ400" s="2"/>
      <c r="CK400" s="2"/>
      <c r="CL400" s="2"/>
      <c r="CM400" s="2"/>
      <c r="CN400" s="2"/>
      <c r="CO400" s="2"/>
      <c r="CP400" s="2"/>
      <c r="CQ400" s="2"/>
      <c r="CR400" s="2"/>
      <c r="CS400" s="2"/>
      <c r="CT400" s="2"/>
      <c r="CU400" s="2"/>
      <c r="CV400" s="2"/>
      <c r="CW400" s="2"/>
      <c r="CX400" s="2"/>
      <c r="CY400" s="2"/>
      <c r="CZ400" s="2"/>
      <c r="DA400" s="2"/>
      <c r="DB400" s="2"/>
      <c r="DC400" s="2"/>
      <c r="DD400" s="2"/>
      <c r="DE400" s="2"/>
      <c r="DF400" s="2"/>
    </row>
    <row r="401" spans="29:110" hidden="1" x14ac:dyDescent="0.2">
      <c r="AC401" s="7"/>
      <c r="AD401" s="2"/>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c r="BC401" s="2"/>
      <c r="BD401" s="2"/>
      <c r="BE401" s="2"/>
      <c r="BF401" s="2"/>
      <c r="BG401" s="2"/>
      <c r="BH401" s="2"/>
      <c r="BI401" s="2"/>
      <c r="BJ401" s="2"/>
      <c r="BK401" s="2"/>
      <c r="BL401" s="2"/>
      <c r="BM401" s="2"/>
      <c r="BN401" s="2"/>
      <c r="BO401" s="2"/>
      <c r="BP401" s="2"/>
      <c r="BQ401" s="2"/>
      <c r="BR401" s="2"/>
      <c r="BS401" s="2"/>
      <c r="BT401" s="2"/>
      <c r="BU401" s="2"/>
      <c r="BV401" s="2"/>
      <c r="BW401" s="2"/>
      <c r="BX401" s="2"/>
      <c r="BY401" s="2"/>
      <c r="BZ401" s="2"/>
      <c r="CA401" s="2"/>
      <c r="CB401" s="2"/>
      <c r="CC401" s="2"/>
      <c r="CD401" s="2"/>
      <c r="CE401" s="2"/>
      <c r="CF401" s="2"/>
      <c r="CG401" s="2"/>
      <c r="CH401" s="2"/>
      <c r="CI401" s="2"/>
      <c r="CJ401" s="2"/>
      <c r="CK401" s="2"/>
      <c r="CL401" s="2"/>
      <c r="CM401" s="2"/>
      <c r="CN401" s="2"/>
      <c r="CO401" s="2"/>
      <c r="CP401" s="2"/>
      <c r="CQ401" s="2"/>
      <c r="CR401" s="2"/>
      <c r="CS401" s="2"/>
      <c r="CT401" s="2"/>
      <c r="CU401" s="2"/>
      <c r="CV401" s="2"/>
      <c r="CW401" s="2"/>
      <c r="CX401" s="2"/>
      <c r="CY401" s="2"/>
      <c r="CZ401" s="2"/>
      <c r="DA401" s="2"/>
      <c r="DB401" s="2"/>
      <c r="DC401" s="2"/>
      <c r="DD401" s="2"/>
      <c r="DE401" s="2"/>
      <c r="DF401" s="2"/>
    </row>
    <row r="402" spans="29:110" hidden="1" x14ac:dyDescent="0.2">
      <c r="AC402" s="7"/>
      <c r="AD402" s="2"/>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c r="BD402" s="2"/>
      <c r="BE402" s="2"/>
      <c r="BF402" s="2"/>
      <c r="BG402" s="2"/>
      <c r="BH402" s="2"/>
      <c r="BI402" s="2"/>
      <c r="BJ402" s="2"/>
      <c r="BK402" s="2"/>
      <c r="BL402" s="2"/>
      <c r="BM402" s="2"/>
      <c r="BN402" s="2"/>
      <c r="BO402" s="2"/>
      <c r="BP402" s="2"/>
      <c r="BQ402" s="2"/>
      <c r="BR402" s="2"/>
      <c r="BS402" s="2"/>
      <c r="BT402" s="2"/>
      <c r="BU402" s="2"/>
      <c r="BV402" s="2"/>
      <c r="BW402" s="2"/>
      <c r="BX402" s="2"/>
      <c r="BY402" s="2"/>
      <c r="BZ402" s="2"/>
      <c r="CA402" s="2"/>
      <c r="CB402" s="2"/>
      <c r="CC402" s="2"/>
      <c r="CD402" s="2"/>
      <c r="CE402" s="2"/>
      <c r="CF402" s="2"/>
      <c r="CG402" s="2"/>
      <c r="CH402" s="2"/>
      <c r="CI402" s="2"/>
      <c r="CJ402" s="2"/>
      <c r="CK402" s="2"/>
      <c r="CL402" s="2"/>
      <c r="CM402" s="2"/>
      <c r="CN402" s="2"/>
      <c r="CO402" s="2"/>
      <c r="CP402" s="2"/>
      <c r="CQ402" s="2"/>
      <c r="CR402" s="2"/>
      <c r="CS402" s="2"/>
      <c r="CT402" s="2"/>
      <c r="CU402" s="2"/>
      <c r="CV402" s="2"/>
      <c r="CW402" s="2"/>
      <c r="CX402" s="2"/>
      <c r="CY402" s="2"/>
      <c r="CZ402" s="2"/>
      <c r="DA402" s="2"/>
      <c r="DB402" s="2"/>
      <c r="DC402" s="2"/>
      <c r="DD402" s="2"/>
      <c r="DE402" s="2"/>
      <c r="DF402" s="2"/>
    </row>
    <row r="403" spans="29:110" hidden="1" x14ac:dyDescent="0.2">
      <c r="AC403" s="7"/>
      <c r="AD403" s="2"/>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c r="BC403" s="2"/>
      <c r="BD403" s="2"/>
      <c r="BE403" s="2"/>
      <c r="BF403" s="2"/>
      <c r="BG403" s="2"/>
      <c r="BH403" s="2"/>
      <c r="BI403" s="2"/>
      <c r="BJ403" s="2"/>
      <c r="BK403" s="2"/>
      <c r="BL403" s="2"/>
      <c r="BM403" s="2"/>
      <c r="BN403" s="2"/>
      <c r="BO403" s="2"/>
      <c r="BP403" s="2"/>
      <c r="BQ403" s="2"/>
      <c r="BR403" s="2"/>
      <c r="BS403" s="2"/>
      <c r="BT403" s="2"/>
      <c r="BU403" s="2"/>
      <c r="BV403" s="2"/>
      <c r="BW403" s="2"/>
      <c r="BX403" s="2"/>
      <c r="BY403" s="2"/>
      <c r="BZ403" s="2"/>
      <c r="CA403" s="2"/>
      <c r="CB403" s="2"/>
      <c r="CC403" s="2"/>
      <c r="CD403" s="2"/>
      <c r="CE403" s="2"/>
      <c r="CF403" s="2"/>
      <c r="CG403" s="2"/>
      <c r="CH403" s="2"/>
      <c r="CI403" s="2"/>
      <c r="CJ403" s="2"/>
      <c r="CK403" s="2"/>
      <c r="CL403" s="2"/>
      <c r="CM403" s="2"/>
      <c r="CN403" s="2"/>
      <c r="CO403" s="2"/>
      <c r="CP403" s="2"/>
      <c r="CQ403" s="2"/>
      <c r="CR403" s="2"/>
      <c r="CS403" s="2"/>
      <c r="CT403" s="2"/>
      <c r="CU403" s="2"/>
      <c r="CV403" s="2"/>
      <c r="CW403" s="2"/>
      <c r="CX403" s="2"/>
      <c r="CY403" s="2"/>
      <c r="CZ403" s="2"/>
      <c r="DA403" s="2"/>
      <c r="DB403" s="2"/>
      <c r="DC403" s="2"/>
      <c r="DD403" s="2"/>
      <c r="DE403" s="2"/>
      <c r="DF403" s="2"/>
    </row>
    <row r="404" spans="29:110" hidden="1" x14ac:dyDescent="0.2">
      <c r="AC404" s="7"/>
      <c r="AD404" s="2"/>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c r="BD404" s="2"/>
      <c r="BE404" s="2"/>
      <c r="BF404" s="2"/>
      <c r="BG404" s="2"/>
      <c r="BH404" s="2"/>
      <c r="BI404" s="2"/>
      <c r="BJ404" s="2"/>
      <c r="BK404" s="2"/>
      <c r="BL404" s="2"/>
      <c r="BM404" s="2"/>
      <c r="BN404" s="2"/>
      <c r="BO404" s="2"/>
      <c r="BP404" s="2"/>
      <c r="BQ404" s="2"/>
      <c r="BR404" s="2"/>
      <c r="BS404" s="2"/>
      <c r="BT404" s="2"/>
      <c r="BU404" s="2"/>
      <c r="BV404" s="2"/>
      <c r="BW404" s="2"/>
      <c r="BX404" s="2"/>
      <c r="BY404" s="2"/>
      <c r="BZ404" s="2"/>
      <c r="CA404" s="2"/>
      <c r="CB404" s="2"/>
      <c r="CC404" s="2"/>
      <c r="CD404" s="2"/>
      <c r="CE404" s="2"/>
      <c r="CF404" s="2"/>
      <c r="CG404" s="2"/>
      <c r="CH404" s="2"/>
      <c r="CI404" s="2"/>
      <c r="CJ404" s="2"/>
      <c r="CK404" s="2"/>
      <c r="CL404" s="2"/>
      <c r="CM404" s="2"/>
      <c r="CN404" s="2"/>
      <c r="CO404" s="2"/>
      <c r="CP404" s="2"/>
      <c r="CQ404" s="2"/>
      <c r="CR404" s="2"/>
      <c r="CS404" s="2"/>
      <c r="CT404" s="2"/>
      <c r="CU404" s="2"/>
      <c r="CV404" s="2"/>
      <c r="CW404" s="2"/>
      <c r="CX404" s="2"/>
      <c r="CY404" s="2"/>
      <c r="CZ404" s="2"/>
      <c r="DA404" s="2"/>
      <c r="DB404" s="2"/>
      <c r="DC404" s="2"/>
      <c r="DD404" s="2"/>
      <c r="DE404" s="2"/>
      <c r="DF404" s="2"/>
    </row>
    <row r="405" spans="29:110" hidden="1" x14ac:dyDescent="0.2">
      <c r="AC405" s="7"/>
      <c r="AD405" s="2"/>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2"/>
      <c r="BF405" s="2"/>
      <c r="BG405" s="2"/>
      <c r="BH405" s="2"/>
      <c r="BI405" s="2"/>
      <c r="BJ405" s="2"/>
      <c r="BK405" s="2"/>
      <c r="BL405" s="2"/>
      <c r="BM405" s="2"/>
      <c r="BN405" s="2"/>
      <c r="BO405" s="2"/>
      <c r="BP405" s="2"/>
      <c r="BQ405" s="2"/>
      <c r="BR405" s="2"/>
      <c r="BS405" s="2"/>
      <c r="BT405" s="2"/>
      <c r="BU405" s="2"/>
      <c r="BV405" s="2"/>
      <c r="BW405" s="2"/>
      <c r="BX405" s="2"/>
      <c r="BY405" s="2"/>
      <c r="BZ405" s="2"/>
      <c r="CA405" s="2"/>
      <c r="CB405" s="2"/>
      <c r="CC405" s="2"/>
      <c r="CD405" s="2"/>
      <c r="CE405" s="2"/>
      <c r="CF405" s="2"/>
      <c r="CG405" s="2"/>
      <c r="CH405" s="2"/>
      <c r="CI405" s="2"/>
      <c r="CJ405" s="2"/>
      <c r="CK405" s="2"/>
      <c r="CL405" s="2"/>
      <c r="CM405" s="2"/>
      <c r="CN405" s="2"/>
      <c r="CO405" s="2"/>
      <c r="CP405" s="2"/>
      <c r="CQ405" s="2"/>
      <c r="CR405" s="2"/>
      <c r="CS405" s="2"/>
      <c r="CT405" s="2"/>
      <c r="CU405" s="2"/>
      <c r="CV405" s="2"/>
      <c r="CW405" s="2"/>
      <c r="CX405" s="2"/>
      <c r="CY405" s="2"/>
      <c r="CZ405" s="2"/>
      <c r="DA405" s="2"/>
      <c r="DB405" s="2"/>
      <c r="DC405" s="2"/>
      <c r="DD405" s="2"/>
      <c r="DE405" s="2"/>
      <c r="DF405" s="2"/>
    </row>
    <row r="406" spans="29:110" hidden="1" x14ac:dyDescent="0.2">
      <c r="AC406" s="7"/>
      <c r="AD406" s="2"/>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c r="BD406" s="2"/>
      <c r="BE406" s="2"/>
      <c r="BF406" s="2"/>
      <c r="BG406" s="2"/>
      <c r="BH406" s="2"/>
      <c r="BI406" s="2"/>
      <c r="BJ406" s="2"/>
      <c r="BK406" s="2"/>
      <c r="BL406" s="2"/>
      <c r="BM406" s="2"/>
      <c r="BN406" s="2"/>
      <c r="BO406" s="2"/>
      <c r="BP406" s="2"/>
      <c r="BQ406" s="2"/>
      <c r="BR406" s="2"/>
      <c r="BS406" s="2"/>
      <c r="BT406" s="2"/>
      <c r="BU406" s="2"/>
      <c r="BV406" s="2"/>
      <c r="BW406" s="2"/>
      <c r="BX406" s="2"/>
      <c r="BY406" s="2"/>
      <c r="BZ406" s="2"/>
      <c r="CA406" s="2"/>
      <c r="CB406" s="2"/>
      <c r="CC406" s="2"/>
      <c r="CD406" s="2"/>
      <c r="CE406" s="2"/>
      <c r="CF406" s="2"/>
      <c r="CG406" s="2"/>
      <c r="CH406" s="2"/>
      <c r="CI406" s="2"/>
      <c r="CJ406" s="2"/>
      <c r="CK406" s="2"/>
      <c r="CL406" s="2"/>
      <c r="CM406" s="2"/>
      <c r="CN406" s="2"/>
      <c r="CO406" s="2"/>
      <c r="CP406" s="2"/>
      <c r="CQ406" s="2"/>
      <c r="CR406" s="2"/>
      <c r="CS406" s="2"/>
      <c r="CT406" s="2"/>
      <c r="CU406" s="2"/>
      <c r="CV406" s="2"/>
      <c r="CW406" s="2"/>
      <c r="CX406" s="2"/>
      <c r="CY406" s="2"/>
      <c r="CZ406" s="2"/>
      <c r="DA406" s="2"/>
      <c r="DB406" s="2"/>
      <c r="DC406" s="2"/>
      <c r="DD406" s="2"/>
      <c r="DE406" s="2"/>
      <c r="DF406" s="2"/>
    </row>
    <row r="407" spans="29:110" hidden="1" x14ac:dyDescent="0.2">
      <c r="AC407" s="7"/>
      <c r="AD407" s="2"/>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c r="BC407" s="2"/>
      <c r="BD407" s="2"/>
      <c r="BE407" s="2"/>
      <c r="BF407" s="2"/>
      <c r="BG407" s="2"/>
      <c r="BH407" s="2"/>
      <c r="BI407" s="2"/>
      <c r="BJ407" s="2"/>
      <c r="BK407" s="2"/>
      <c r="BL407" s="2"/>
      <c r="BM407" s="2"/>
      <c r="BN407" s="2"/>
      <c r="BO407" s="2"/>
      <c r="BP407" s="2"/>
      <c r="BQ407" s="2"/>
      <c r="BR407" s="2"/>
      <c r="BS407" s="2"/>
      <c r="BT407" s="2"/>
      <c r="BU407" s="2"/>
      <c r="BV407" s="2"/>
      <c r="BW407" s="2"/>
      <c r="BX407" s="2"/>
      <c r="BY407" s="2"/>
      <c r="BZ407" s="2"/>
      <c r="CA407" s="2"/>
      <c r="CB407" s="2"/>
      <c r="CC407" s="2"/>
      <c r="CD407" s="2"/>
      <c r="CE407" s="2"/>
      <c r="CF407" s="2"/>
      <c r="CG407" s="2"/>
      <c r="CH407" s="2"/>
      <c r="CI407" s="2"/>
      <c r="CJ407" s="2"/>
      <c r="CK407" s="2"/>
      <c r="CL407" s="2"/>
      <c r="CM407" s="2"/>
      <c r="CN407" s="2"/>
      <c r="CO407" s="2"/>
      <c r="CP407" s="2"/>
      <c r="CQ407" s="2"/>
      <c r="CR407" s="2"/>
      <c r="CS407" s="2"/>
      <c r="CT407" s="2"/>
      <c r="CU407" s="2"/>
      <c r="CV407" s="2"/>
      <c r="CW407" s="2"/>
      <c r="CX407" s="2"/>
      <c r="CY407" s="2"/>
      <c r="CZ407" s="2"/>
      <c r="DA407" s="2"/>
      <c r="DB407" s="2"/>
      <c r="DC407" s="2"/>
      <c r="DD407" s="2"/>
      <c r="DE407" s="2"/>
      <c r="DF407" s="2"/>
    </row>
    <row r="408" spans="29:110" hidden="1" x14ac:dyDescent="0.2">
      <c r="AC408" s="7"/>
      <c r="AD408" s="2"/>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c r="BD408" s="2"/>
      <c r="BE408" s="2"/>
      <c r="BF408" s="2"/>
      <c r="BG408" s="2"/>
      <c r="BH408" s="2"/>
      <c r="BI408" s="2"/>
      <c r="BJ408" s="2"/>
      <c r="BK408" s="2"/>
      <c r="BL408" s="2"/>
      <c r="BM408" s="2"/>
      <c r="BN408" s="2"/>
      <c r="BO408" s="2"/>
      <c r="BP408" s="2"/>
      <c r="BQ408" s="2"/>
      <c r="BR408" s="2"/>
      <c r="BS408" s="2"/>
      <c r="BT408" s="2"/>
      <c r="BU408" s="2"/>
      <c r="BV408" s="2"/>
      <c r="BW408" s="2"/>
      <c r="BX408" s="2"/>
      <c r="BY408" s="2"/>
      <c r="BZ408" s="2"/>
      <c r="CA408" s="2"/>
      <c r="CB408" s="2"/>
      <c r="CC408" s="2"/>
      <c r="CD408" s="2"/>
      <c r="CE408" s="2"/>
      <c r="CF408" s="2"/>
      <c r="CG408" s="2"/>
      <c r="CH408" s="2"/>
      <c r="CI408" s="2"/>
      <c r="CJ408" s="2"/>
      <c r="CK408" s="2"/>
      <c r="CL408" s="2"/>
      <c r="CM408" s="2"/>
      <c r="CN408" s="2"/>
      <c r="CO408" s="2"/>
      <c r="CP408" s="2"/>
      <c r="CQ408" s="2"/>
      <c r="CR408" s="2"/>
      <c r="CS408" s="2"/>
      <c r="CT408" s="2"/>
      <c r="CU408" s="2"/>
      <c r="CV408" s="2"/>
      <c r="CW408" s="2"/>
      <c r="CX408" s="2"/>
      <c r="CY408" s="2"/>
      <c r="CZ408" s="2"/>
      <c r="DA408" s="2"/>
      <c r="DB408" s="2"/>
      <c r="DC408" s="2"/>
      <c r="DD408" s="2"/>
      <c r="DE408" s="2"/>
      <c r="DF408" s="2"/>
    </row>
    <row r="409" spans="29:110" hidden="1" x14ac:dyDescent="0.2">
      <c r="AC409" s="7"/>
      <c r="AD409" s="2"/>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c r="BC409" s="2"/>
      <c r="BD409" s="2"/>
      <c r="BE409" s="2"/>
      <c r="BF409" s="2"/>
      <c r="BG409" s="2"/>
      <c r="BH409" s="2"/>
      <c r="BI409" s="2"/>
      <c r="BJ409" s="2"/>
      <c r="BK409" s="2"/>
      <c r="BL409" s="2"/>
      <c r="BM409" s="2"/>
      <c r="BN409" s="2"/>
      <c r="BO409" s="2"/>
      <c r="BP409" s="2"/>
      <c r="BQ409" s="2"/>
      <c r="BR409" s="2"/>
      <c r="BS409" s="2"/>
      <c r="BT409" s="2"/>
      <c r="BU409" s="2"/>
      <c r="BV409" s="2"/>
      <c r="BW409" s="2"/>
      <c r="BX409" s="2"/>
      <c r="BY409" s="2"/>
      <c r="BZ409" s="2"/>
      <c r="CA409" s="2"/>
      <c r="CB409" s="2"/>
      <c r="CC409" s="2"/>
      <c r="CD409" s="2"/>
      <c r="CE409" s="2"/>
      <c r="CF409" s="2"/>
      <c r="CG409" s="2"/>
      <c r="CH409" s="2"/>
      <c r="CI409" s="2"/>
      <c r="CJ409" s="2"/>
      <c r="CK409" s="2"/>
      <c r="CL409" s="2"/>
      <c r="CM409" s="2"/>
      <c r="CN409" s="2"/>
      <c r="CO409" s="2"/>
      <c r="CP409" s="2"/>
      <c r="CQ409" s="2"/>
      <c r="CR409" s="2"/>
      <c r="CS409" s="2"/>
      <c r="CT409" s="2"/>
      <c r="CU409" s="2"/>
      <c r="CV409" s="2"/>
      <c r="CW409" s="2"/>
      <c r="CX409" s="2"/>
      <c r="CY409" s="2"/>
      <c r="CZ409" s="2"/>
      <c r="DA409" s="2"/>
      <c r="DB409" s="2"/>
      <c r="DC409" s="2"/>
      <c r="DD409" s="2"/>
      <c r="DE409" s="2"/>
      <c r="DF409" s="2"/>
    </row>
    <row r="410" spans="29:110" hidden="1" x14ac:dyDescent="0.2">
      <c r="AC410" s="7"/>
      <c r="AD410" s="2"/>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c r="BC410" s="2"/>
      <c r="BD410" s="2"/>
      <c r="BE410" s="2"/>
      <c r="BF410" s="2"/>
      <c r="BG410" s="2"/>
      <c r="BH410" s="2"/>
      <c r="BI410" s="2"/>
      <c r="BJ410" s="2"/>
      <c r="BK410" s="2"/>
      <c r="BL410" s="2"/>
      <c r="BM410" s="2"/>
      <c r="BN410" s="2"/>
      <c r="BO410" s="2"/>
      <c r="BP410" s="2"/>
      <c r="BQ410" s="2"/>
      <c r="BR410" s="2"/>
      <c r="BS410" s="2"/>
      <c r="BT410" s="2"/>
      <c r="BU410" s="2"/>
      <c r="BV410" s="2"/>
      <c r="BW410" s="2"/>
      <c r="BX410" s="2"/>
      <c r="BY410" s="2"/>
      <c r="BZ410" s="2"/>
      <c r="CA410" s="2"/>
      <c r="CB410" s="2"/>
      <c r="CC410" s="2"/>
      <c r="CD410" s="2"/>
      <c r="CE410" s="2"/>
      <c r="CF410" s="2"/>
      <c r="CG410" s="2"/>
      <c r="CH410" s="2"/>
      <c r="CI410" s="2"/>
      <c r="CJ410" s="2"/>
      <c r="CK410" s="2"/>
      <c r="CL410" s="2"/>
      <c r="CM410" s="2"/>
      <c r="CN410" s="2"/>
      <c r="CO410" s="2"/>
      <c r="CP410" s="2"/>
      <c r="CQ410" s="2"/>
      <c r="CR410" s="2"/>
      <c r="CS410" s="2"/>
      <c r="CT410" s="2"/>
      <c r="CU410" s="2"/>
      <c r="CV410" s="2"/>
      <c r="CW410" s="2"/>
      <c r="CX410" s="2"/>
      <c r="CY410" s="2"/>
      <c r="CZ410" s="2"/>
      <c r="DA410" s="2"/>
      <c r="DB410" s="2"/>
      <c r="DC410" s="2"/>
      <c r="DD410" s="2"/>
      <c r="DE410" s="2"/>
      <c r="DF410" s="2"/>
    </row>
    <row r="411" spans="29:110" hidden="1" x14ac:dyDescent="0.2">
      <c r="AC411" s="7"/>
      <c r="AD411" s="2"/>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c r="BC411" s="2"/>
      <c r="BD411" s="2"/>
      <c r="BE411" s="2"/>
      <c r="BF411" s="2"/>
      <c r="BG411" s="2"/>
      <c r="BH411" s="2"/>
      <c r="BI411" s="2"/>
      <c r="BJ411" s="2"/>
      <c r="BK411" s="2"/>
      <c r="BL411" s="2"/>
      <c r="BM411" s="2"/>
      <c r="BN411" s="2"/>
      <c r="BO411" s="2"/>
      <c r="BP411" s="2"/>
      <c r="BQ411" s="2"/>
      <c r="BR411" s="2"/>
      <c r="BS411" s="2"/>
      <c r="BT411" s="2"/>
      <c r="BU411" s="2"/>
      <c r="BV411" s="2"/>
      <c r="BW411" s="2"/>
      <c r="BX411" s="2"/>
      <c r="BY411" s="2"/>
      <c r="BZ411" s="2"/>
      <c r="CA411" s="2"/>
      <c r="CB411" s="2"/>
      <c r="CC411" s="2"/>
      <c r="CD411" s="2"/>
      <c r="CE411" s="2"/>
      <c r="CF411" s="2"/>
      <c r="CG411" s="2"/>
      <c r="CH411" s="2"/>
      <c r="CI411" s="2"/>
      <c r="CJ411" s="2"/>
      <c r="CK411" s="2"/>
      <c r="CL411" s="2"/>
      <c r="CM411" s="2"/>
      <c r="CN411" s="2"/>
      <c r="CO411" s="2"/>
      <c r="CP411" s="2"/>
      <c r="CQ411" s="2"/>
      <c r="CR411" s="2"/>
      <c r="CS411" s="2"/>
      <c r="CT411" s="2"/>
      <c r="CU411" s="2"/>
      <c r="CV411" s="2"/>
      <c r="CW411" s="2"/>
      <c r="CX411" s="2"/>
      <c r="CY411" s="2"/>
      <c r="CZ411" s="2"/>
      <c r="DA411" s="2"/>
      <c r="DB411" s="2"/>
      <c r="DC411" s="2"/>
      <c r="DD411" s="2"/>
      <c r="DE411" s="2"/>
      <c r="DF411" s="2"/>
    </row>
    <row r="412" spans="29:110" hidden="1" x14ac:dyDescent="0.2">
      <c r="AC412" s="7"/>
      <c r="AD412" s="2"/>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c r="BE412" s="2"/>
      <c r="BF412" s="2"/>
      <c r="BG412" s="2"/>
      <c r="BH412" s="2"/>
      <c r="BI412" s="2"/>
      <c r="BJ412" s="2"/>
      <c r="BK412" s="2"/>
      <c r="BL412" s="2"/>
      <c r="BM412" s="2"/>
      <c r="BN412" s="2"/>
      <c r="BO412" s="2"/>
      <c r="BP412" s="2"/>
      <c r="BQ412" s="2"/>
      <c r="BR412" s="2"/>
      <c r="BS412" s="2"/>
      <c r="BT412" s="2"/>
      <c r="BU412" s="2"/>
      <c r="BV412" s="2"/>
      <c r="BW412" s="2"/>
      <c r="BX412" s="2"/>
      <c r="BY412" s="2"/>
      <c r="BZ412" s="2"/>
      <c r="CA412" s="2"/>
      <c r="CB412" s="2"/>
      <c r="CC412" s="2"/>
      <c r="CD412" s="2"/>
      <c r="CE412" s="2"/>
      <c r="CF412" s="2"/>
      <c r="CG412" s="2"/>
      <c r="CH412" s="2"/>
      <c r="CI412" s="2"/>
      <c r="CJ412" s="2"/>
      <c r="CK412" s="2"/>
      <c r="CL412" s="2"/>
      <c r="CM412" s="2"/>
      <c r="CN412" s="2"/>
      <c r="CO412" s="2"/>
      <c r="CP412" s="2"/>
      <c r="CQ412" s="2"/>
      <c r="CR412" s="2"/>
      <c r="CS412" s="2"/>
      <c r="CT412" s="2"/>
      <c r="CU412" s="2"/>
      <c r="CV412" s="2"/>
      <c r="CW412" s="2"/>
      <c r="CX412" s="2"/>
      <c r="CY412" s="2"/>
      <c r="CZ412" s="2"/>
      <c r="DA412" s="2"/>
      <c r="DB412" s="2"/>
      <c r="DC412" s="2"/>
      <c r="DD412" s="2"/>
      <c r="DE412" s="2"/>
      <c r="DF412" s="2"/>
    </row>
    <row r="413" spans="29:110" hidden="1" x14ac:dyDescent="0.2">
      <c r="AC413" s="7"/>
      <c r="AD413" s="2"/>
      <c r="AE413" s="2"/>
      <c r="AF413" s="2"/>
      <c r="AG413" s="2"/>
      <c r="AH413" s="2"/>
      <c r="AI413" s="2"/>
      <c r="AJ413" s="2"/>
      <c r="AK413" s="2"/>
      <c r="AL413" s="2"/>
      <c r="AM413" s="2"/>
      <c r="AN413" s="2"/>
      <c r="AO413" s="2"/>
      <c r="AP413" s="2"/>
      <c r="AQ413" s="2"/>
      <c r="AR413" s="2"/>
      <c r="AS413" s="2"/>
      <c r="AT413" s="2"/>
      <c r="AU413" s="2"/>
      <c r="AV413" s="2"/>
      <c r="AW413" s="2"/>
      <c r="AX413" s="2"/>
      <c r="AY413" s="2"/>
      <c r="AZ413" s="2"/>
      <c r="BA413" s="2"/>
      <c r="BB413" s="2"/>
      <c r="BC413" s="2"/>
      <c r="BD413" s="2"/>
      <c r="BE413" s="2"/>
      <c r="BF413" s="2"/>
      <c r="BG413" s="2"/>
      <c r="BH413" s="2"/>
      <c r="BI413" s="2"/>
      <c r="BJ413" s="2"/>
      <c r="BK413" s="2"/>
      <c r="BL413" s="2"/>
      <c r="BM413" s="2"/>
      <c r="BN413" s="2"/>
      <c r="BO413" s="2"/>
      <c r="BP413" s="2"/>
      <c r="BQ413" s="2"/>
      <c r="BR413" s="2"/>
      <c r="BS413" s="2"/>
      <c r="BT413" s="2"/>
      <c r="BU413" s="2"/>
      <c r="BV413" s="2"/>
      <c r="BW413" s="2"/>
      <c r="BX413" s="2"/>
      <c r="BY413" s="2"/>
      <c r="BZ413" s="2"/>
      <c r="CA413" s="2"/>
      <c r="CB413" s="2"/>
      <c r="CC413" s="2"/>
      <c r="CD413" s="2"/>
      <c r="CE413" s="2"/>
      <c r="CF413" s="2"/>
      <c r="CG413" s="2"/>
      <c r="CH413" s="2"/>
      <c r="CI413" s="2"/>
      <c r="CJ413" s="2"/>
      <c r="CK413" s="2"/>
      <c r="CL413" s="2"/>
      <c r="CM413" s="2"/>
      <c r="CN413" s="2"/>
      <c r="CO413" s="2"/>
      <c r="CP413" s="2"/>
      <c r="CQ413" s="2"/>
      <c r="CR413" s="2"/>
      <c r="CS413" s="2"/>
      <c r="CT413" s="2"/>
      <c r="CU413" s="2"/>
      <c r="CV413" s="2"/>
      <c r="CW413" s="2"/>
      <c r="CX413" s="2"/>
      <c r="CY413" s="2"/>
      <c r="CZ413" s="2"/>
      <c r="DA413" s="2"/>
      <c r="DB413" s="2"/>
      <c r="DC413" s="2"/>
      <c r="DD413" s="2"/>
      <c r="DE413" s="2"/>
      <c r="DF413" s="2"/>
    </row>
    <row r="414" spans="29:110" hidden="1" x14ac:dyDescent="0.2">
      <c r="AC414" s="7"/>
      <c r="AD414" s="2"/>
      <c r="AE414" s="2"/>
      <c r="AF414" s="2"/>
      <c r="AG414" s="2"/>
      <c r="AH414" s="2"/>
      <c r="AI414" s="2"/>
      <c r="AJ414" s="2"/>
      <c r="AK414" s="2"/>
      <c r="AL414" s="2"/>
      <c r="AM414" s="2"/>
      <c r="AN414" s="2"/>
      <c r="AO414" s="2"/>
      <c r="AP414" s="2"/>
      <c r="AQ414" s="2"/>
      <c r="AR414" s="2"/>
      <c r="AS414" s="2"/>
      <c r="AT414" s="2"/>
      <c r="AU414" s="2"/>
      <c r="AV414" s="2"/>
      <c r="AW414" s="2"/>
      <c r="AX414" s="2"/>
      <c r="AY414" s="2"/>
      <c r="AZ414" s="2"/>
      <c r="BA414" s="2"/>
      <c r="BB414" s="2"/>
      <c r="BC414" s="2"/>
      <c r="BD414" s="2"/>
      <c r="BE414" s="2"/>
      <c r="BF414" s="2"/>
      <c r="BG414" s="2"/>
      <c r="BH414" s="2"/>
      <c r="BI414" s="2"/>
      <c r="BJ414" s="2"/>
      <c r="BK414" s="2"/>
      <c r="BL414" s="2"/>
      <c r="BM414" s="2"/>
      <c r="BN414" s="2"/>
      <c r="BO414" s="2"/>
      <c r="BP414" s="2"/>
      <c r="BQ414" s="2"/>
      <c r="BR414" s="2"/>
      <c r="BS414" s="2"/>
      <c r="BT414" s="2"/>
      <c r="BU414" s="2"/>
      <c r="BV414" s="2"/>
      <c r="BW414" s="2"/>
      <c r="BX414" s="2"/>
      <c r="BY414" s="2"/>
      <c r="BZ414" s="2"/>
      <c r="CA414" s="2"/>
      <c r="CB414" s="2"/>
      <c r="CC414" s="2"/>
      <c r="CD414" s="2"/>
      <c r="CE414" s="2"/>
      <c r="CF414" s="2"/>
      <c r="CG414" s="2"/>
      <c r="CH414" s="2"/>
      <c r="CI414" s="2"/>
      <c r="CJ414" s="2"/>
      <c r="CK414" s="2"/>
      <c r="CL414" s="2"/>
      <c r="CM414" s="2"/>
      <c r="CN414" s="2"/>
      <c r="CO414" s="2"/>
      <c r="CP414" s="2"/>
      <c r="CQ414" s="2"/>
      <c r="CR414" s="2"/>
      <c r="CS414" s="2"/>
      <c r="CT414" s="2"/>
      <c r="CU414" s="2"/>
      <c r="CV414" s="2"/>
      <c r="CW414" s="2"/>
      <c r="CX414" s="2"/>
      <c r="CY414" s="2"/>
      <c r="CZ414" s="2"/>
      <c r="DA414" s="2"/>
      <c r="DB414" s="2"/>
      <c r="DC414" s="2"/>
      <c r="DD414" s="2"/>
      <c r="DE414" s="2"/>
      <c r="DF414" s="2"/>
    </row>
    <row r="415" spans="29:110" hidden="1" x14ac:dyDescent="0.2">
      <c r="AC415" s="7"/>
      <c r="AD415" s="2"/>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c r="BC415" s="2"/>
      <c r="BD415" s="2"/>
      <c r="BE415" s="2"/>
      <c r="BF415" s="2"/>
      <c r="BG415" s="2"/>
      <c r="BH415" s="2"/>
      <c r="BI415" s="2"/>
      <c r="BJ415" s="2"/>
      <c r="BK415" s="2"/>
      <c r="BL415" s="2"/>
      <c r="BM415" s="2"/>
      <c r="BN415" s="2"/>
      <c r="BO415" s="2"/>
      <c r="BP415" s="2"/>
      <c r="BQ415" s="2"/>
      <c r="BR415" s="2"/>
      <c r="BS415" s="2"/>
      <c r="BT415" s="2"/>
      <c r="BU415" s="2"/>
      <c r="BV415" s="2"/>
      <c r="BW415" s="2"/>
      <c r="BX415" s="2"/>
      <c r="BY415" s="2"/>
      <c r="BZ415" s="2"/>
      <c r="CA415" s="2"/>
      <c r="CB415" s="2"/>
      <c r="CC415" s="2"/>
      <c r="CD415" s="2"/>
      <c r="CE415" s="2"/>
      <c r="CF415" s="2"/>
      <c r="CG415" s="2"/>
      <c r="CH415" s="2"/>
      <c r="CI415" s="2"/>
      <c r="CJ415" s="2"/>
      <c r="CK415" s="2"/>
      <c r="CL415" s="2"/>
      <c r="CM415" s="2"/>
      <c r="CN415" s="2"/>
      <c r="CO415" s="2"/>
      <c r="CP415" s="2"/>
      <c r="CQ415" s="2"/>
      <c r="CR415" s="2"/>
      <c r="CS415" s="2"/>
      <c r="CT415" s="2"/>
      <c r="CU415" s="2"/>
      <c r="CV415" s="2"/>
      <c r="CW415" s="2"/>
      <c r="CX415" s="2"/>
      <c r="CY415" s="2"/>
      <c r="CZ415" s="2"/>
      <c r="DA415" s="2"/>
      <c r="DB415" s="2"/>
      <c r="DC415" s="2"/>
      <c r="DD415" s="2"/>
      <c r="DE415" s="2"/>
      <c r="DF415" s="2"/>
    </row>
    <row r="416" spans="29:110" hidden="1" x14ac:dyDescent="0.2">
      <c r="AC416" s="7"/>
      <c r="AD416" s="2"/>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c r="BD416" s="2"/>
      <c r="BE416" s="2"/>
      <c r="BF416" s="2"/>
      <c r="BG416" s="2"/>
      <c r="BH416" s="2"/>
      <c r="BI416" s="2"/>
      <c r="BJ416" s="2"/>
      <c r="BK416" s="2"/>
      <c r="BL416" s="2"/>
      <c r="BM416" s="2"/>
      <c r="BN416" s="2"/>
      <c r="BO416" s="2"/>
      <c r="BP416" s="2"/>
      <c r="BQ416" s="2"/>
      <c r="BR416" s="2"/>
      <c r="BS416" s="2"/>
      <c r="BT416" s="2"/>
      <c r="BU416" s="2"/>
      <c r="BV416" s="2"/>
      <c r="BW416" s="2"/>
      <c r="BX416" s="2"/>
      <c r="BY416" s="2"/>
      <c r="BZ416" s="2"/>
      <c r="CA416" s="2"/>
      <c r="CB416" s="2"/>
      <c r="CC416" s="2"/>
      <c r="CD416" s="2"/>
      <c r="CE416" s="2"/>
      <c r="CF416" s="2"/>
      <c r="CG416" s="2"/>
      <c r="CH416" s="2"/>
      <c r="CI416" s="2"/>
      <c r="CJ416" s="2"/>
      <c r="CK416" s="2"/>
      <c r="CL416" s="2"/>
      <c r="CM416" s="2"/>
      <c r="CN416" s="2"/>
      <c r="CO416" s="2"/>
      <c r="CP416" s="2"/>
      <c r="CQ416" s="2"/>
      <c r="CR416" s="2"/>
      <c r="CS416" s="2"/>
      <c r="CT416" s="2"/>
      <c r="CU416" s="2"/>
      <c r="CV416" s="2"/>
      <c r="CW416" s="2"/>
      <c r="CX416" s="2"/>
      <c r="CY416" s="2"/>
      <c r="CZ416" s="2"/>
      <c r="DA416" s="2"/>
      <c r="DB416" s="2"/>
      <c r="DC416" s="2"/>
      <c r="DD416" s="2"/>
      <c r="DE416" s="2"/>
      <c r="DF416" s="2"/>
    </row>
    <row r="417" spans="29:110" hidden="1" x14ac:dyDescent="0.2">
      <c r="AC417" s="7"/>
      <c r="AD417" s="2"/>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c r="BC417" s="2"/>
      <c r="BD417" s="2"/>
      <c r="BE417" s="2"/>
      <c r="BF417" s="2"/>
      <c r="BG417" s="2"/>
      <c r="BH417" s="2"/>
      <c r="BI417" s="2"/>
      <c r="BJ417" s="2"/>
      <c r="BK417" s="2"/>
      <c r="BL417" s="2"/>
      <c r="BM417" s="2"/>
      <c r="BN417" s="2"/>
      <c r="BO417" s="2"/>
      <c r="BP417" s="2"/>
      <c r="BQ417" s="2"/>
      <c r="BR417" s="2"/>
      <c r="BS417" s="2"/>
      <c r="BT417" s="2"/>
      <c r="BU417" s="2"/>
      <c r="BV417" s="2"/>
      <c r="BW417" s="2"/>
      <c r="BX417" s="2"/>
      <c r="BY417" s="2"/>
      <c r="BZ417" s="2"/>
      <c r="CA417" s="2"/>
      <c r="CB417" s="2"/>
      <c r="CC417" s="2"/>
      <c r="CD417" s="2"/>
      <c r="CE417" s="2"/>
      <c r="CF417" s="2"/>
      <c r="CG417" s="2"/>
      <c r="CH417" s="2"/>
      <c r="CI417" s="2"/>
      <c r="CJ417" s="2"/>
      <c r="CK417" s="2"/>
      <c r="CL417" s="2"/>
      <c r="CM417" s="2"/>
      <c r="CN417" s="2"/>
      <c r="CO417" s="2"/>
      <c r="CP417" s="2"/>
      <c r="CQ417" s="2"/>
      <c r="CR417" s="2"/>
      <c r="CS417" s="2"/>
      <c r="CT417" s="2"/>
      <c r="CU417" s="2"/>
      <c r="CV417" s="2"/>
      <c r="CW417" s="2"/>
      <c r="CX417" s="2"/>
      <c r="CY417" s="2"/>
      <c r="CZ417" s="2"/>
      <c r="DA417" s="2"/>
      <c r="DB417" s="2"/>
      <c r="DC417" s="2"/>
      <c r="DD417" s="2"/>
      <c r="DE417" s="2"/>
      <c r="DF417" s="2"/>
    </row>
    <row r="418" spans="29:110" hidden="1" x14ac:dyDescent="0.2">
      <c r="AC418" s="2"/>
      <c r="AD418" s="2"/>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c r="BD418" s="2"/>
      <c r="BE418" s="2"/>
      <c r="BF418" s="2"/>
      <c r="BG418" s="2"/>
      <c r="BH418" s="2"/>
      <c r="BI418" s="2"/>
      <c r="BJ418" s="2"/>
      <c r="BK418" s="2"/>
      <c r="BL418" s="2"/>
      <c r="BM418" s="2"/>
      <c r="BN418" s="2"/>
      <c r="BO418" s="2"/>
      <c r="BP418" s="2"/>
      <c r="BQ418" s="2"/>
      <c r="BR418" s="2"/>
      <c r="BS418" s="2"/>
      <c r="BT418" s="2"/>
      <c r="BU418" s="2"/>
      <c r="BV418" s="2"/>
      <c r="BW418" s="2"/>
      <c r="BX418" s="2"/>
      <c r="BY418" s="2"/>
      <c r="BZ418" s="2"/>
      <c r="CA418" s="2"/>
      <c r="CB418" s="2"/>
      <c r="CC418" s="2"/>
      <c r="CD418" s="2"/>
      <c r="CE418" s="2"/>
      <c r="CF418" s="2"/>
      <c r="CG418" s="2"/>
      <c r="CH418" s="2"/>
      <c r="CI418" s="2"/>
      <c r="CJ418" s="2"/>
      <c r="CK418" s="2"/>
      <c r="CL418" s="2"/>
      <c r="CM418" s="2"/>
      <c r="CN418" s="2"/>
      <c r="CO418" s="2"/>
      <c r="CP418" s="2"/>
      <c r="CQ418" s="2"/>
      <c r="CR418" s="2"/>
      <c r="CS418" s="2"/>
      <c r="CT418" s="2"/>
      <c r="CU418" s="2"/>
      <c r="CV418" s="2"/>
      <c r="CW418" s="2"/>
      <c r="CX418" s="2"/>
      <c r="CY418" s="2"/>
      <c r="CZ418" s="2"/>
      <c r="DA418" s="2"/>
      <c r="DB418" s="2"/>
      <c r="DC418" s="2"/>
      <c r="DD418" s="2"/>
      <c r="DE418" s="2"/>
      <c r="DF418" s="2"/>
    </row>
    <row r="419" spans="29:110" hidden="1" x14ac:dyDescent="0.2">
      <c r="AC419" s="2"/>
      <c r="AD419" s="2"/>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c r="BC419" s="2"/>
      <c r="BD419" s="2"/>
      <c r="BE419" s="2"/>
      <c r="BF419" s="2"/>
      <c r="BG419" s="2"/>
      <c r="BH419" s="2"/>
      <c r="BI419" s="2"/>
      <c r="BJ419" s="2"/>
      <c r="BK419" s="2"/>
      <c r="BL419" s="2"/>
      <c r="BM419" s="2"/>
      <c r="BN419" s="2"/>
      <c r="BO419" s="2"/>
      <c r="BP419" s="2"/>
      <c r="BQ419" s="2"/>
      <c r="BR419" s="2"/>
      <c r="BS419" s="2"/>
      <c r="BT419" s="2"/>
      <c r="BU419" s="2"/>
      <c r="BV419" s="2"/>
      <c r="BW419" s="2"/>
      <c r="BX419" s="2"/>
      <c r="BY419" s="2"/>
      <c r="BZ419" s="2"/>
      <c r="CA419" s="2"/>
      <c r="CB419" s="2"/>
      <c r="CC419" s="2"/>
      <c r="CD419" s="2"/>
      <c r="CE419" s="2"/>
      <c r="CF419" s="2"/>
      <c r="CG419" s="2"/>
      <c r="CH419" s="2"/>
      <c r="CI419" s="2"/>
      <c r="CJ419" s="2"/>
      <c r="CK419" s="2"/>
      <c r="CL419" s="2"/>
      <c r="CM419" s="2"/>
      <c r="CN419" s="2"/>
      <c r="CO419" s="2"/>
      <c r="CP419" s="2"/>
      <c r="CQ419" s="2"/>
      <c r="CR419" s="2"/>
      <c r="CS419" s="2"/>
      <c r="CT419" s="2"/>
      <c r="CU419" s="2"/>
      <c r="CV419" s="2"/>
      <c r="CW419" s="2"/>
      <c r="CX419" s="2"/>
      <c r="CY419" s="2"/>
      <c r="CZ419" s="2"/>
      <c r="DA419" s="2"/>
      <c r="DB419" s="2"/>
      <c r="DC419" s="2"/>
      <c r="DD419" s="2"/>
      <c r="DE419" s="2"/>
      <c r="DF419" s="2"/>
    </row>
    <row r="420" spans="29:110" hidden="1" x14ac:dyDescent="0.2">
      <c r="AC420" s="2"/>
      <c r="AD420" s="2"/>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c r="BC420" s="2"/>
      <c r="BD420" s="2"/>
      <c r="BE420" s="2"/>
      <c r="BF420" s="2"/>
      <c r="BG420" s="2"/>
      <c r="BH420" s="2"/>
      <c r="BI420" s="2"/>
      <c r="BJ420" s="2"/>
      <c r="BK420" s="2"/>
      <c r="BL420" s="2"/>
      <c r="BM420" s="2"/>
      <c r="BN420" s="2"/>
      <c r="BO420" s="2"/>
      <c r="BP420" s="2"/>
      <c r="BQ420" s="2"/>
      <c r="BR420" s="2"/>
      <c r="BS420" s="2"/>
      <c r="BT420" s="2"/>
      <c r="BU420" s="2"/>
      <c r="BV420" s="2"/>
      <c r="BW420" s="2"/>
      <c r="BX420" s="2"/>
      <c r="BY420" s="2"/>
      <c r="BZ420" s="2"/>
      <c r="CA420" s="2"/>
      <c r="CB420" s="2"/>
      <c r="CC420" s="2"/>
      <c r="CD420" s="2"/>
      <c r="CE420" s="2"/>
      <c r="CF420" s="2"/>
      <c r="CG420" s="2"/>
      <c r="CH420" s="2"/>
      <c r="CI420" s="2"/>
      <c r="CJ420" s="2"/>
      <c r="CK420" s="2"/>
      <c r="CL420" s="2"/>
      <c r="CM420" s="2"/>
      <c r="CN420" s="2"/>
      <c r="CO420" s="2"/>
      <c r="CP420" s="2"/>
      <c r="CQ420" s="2"/>
      <c r="CR420" s="2"/>
      <c r="CS420" s="2"/>
      <c r="CT420" s="2"/>
      <c r="CU420" s="2"/>
      <c r="CV420" s="2"/>
      <c r="CW420" s="2"/>
      <c r="CX420" s="2"/>
      <c r="CY420" s="2"/>
      <c r="CZ420" s="2"/>
      <c r="DA420" s="2"/>
      <c r="DB420" s="2"/>
      <c r="DC420" s="2"/>
      <c r="DD420" s="2"/>
      <c r="DE420" s="2"/>
      <c r="DF420" s="2"/>
    </row>
    <row r="421" spans="29:110" hidden="1" x14ac:dyDescent="0.2">
      <c r="AC421" s="2"/>
      <c r="AD421" s="2"/>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c r="BC421" s="2"/>
      <c r="BD421" s="2"/>
      <c r="BE421" s="2"/>
      <c r="BF421" s="2"/>
      <c r="BG421" s="2"/>
      <c r="BH421" s="2"/>
      <c r="BI421" s="2"/>
      <c r="BJ421" s="2"/>
      <c r="BK421" s="2"/>
      <c r="BL421" s="2"/>
      <c r="BM421" s="2"/>
      <c r="BN421" s="2"/>
      <c r="BO421" s="2"/>
      <c r="BP421" s="2"/>
      <c r="BQ421" s="2"/>
      <c r="BR421" s="2"/>
      <c r="BS421" s="2"/>
      <c r="BT421" s="2"/>
      <c r="BU421" s="2"/>
      <c r="BV421" s="2"/>
      <c r="BW421" s="2"/>
      <c r="BX421" s="2"/>
      <c r="BY421" s="2"/>
      <c r="BZ421" s="2"/>
      <c r="CA421" s="2"/>
      <c r="CB421" s="2"/>
      <c r="CC421" s="2"/>
      <c r="CD421" s="2"/>
      <c r="CE421" s="2"/>
      <c r="CF421" s="2"/>
      <c r="CG421" s="2"/>
      <c r="CH421" s="2"/>
      <c r="CI421" s="2"/>
      <c r="CJ421" s="2"/>
      <c r="CK421" s="2"/>
      <c r="CL421" s="2"/>
      <c r="CM421" s="2"/>
      <c r="CN421" s="2"/>
      <c r="CO421" s="2"/>
      <c r="CP421" s="2"/>
      <c r="CQ421" s="2"/>
      <c r="CR421" s="2"/>
      <c r="CS421" s="2"/>
      <c r="CT421" s="2"/>
      <c r="CU421" s="2"/>
      <c r="CV421" s="2"/>
      <c r="CW421" s="2"/>
      <c r="CX421" s="2"/>
      <c r="CY421" s="2"/>
      <c r="CZ421" s="2"/>
      <c r="DA421" s="2"/>
      <c r="DB421" s="2"/>
      <c r="DC421" s="2"/>
      <c r="DD421" s="2"/>
      <c r="DE421" s="2"/>
      <c r="DF421" s="2"/>
    </row>
    <row r="422" spans="29:110" hidden="1" x14ac:dyDescent="0.2">
      <c r="AC422" s="2"/>
      <c r="AD422" s="2"/>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c r="BC422" s="2"/>
      <c r="BD422" s="2"/>
      <c r="BE422" s="2"/>
      <c r="BF422" s="2"/>
      <c r="BG422" s="2"/>
      <c r="BH422" s="2"/>
      <c r="BI422" s="2"/>
      <c r="BJ422" s="2"/>
      <c r="BK422" s="2"/>
      <c r="BL422" s="2"/>
      <c r="BM422" s="2"/>
      <c r="BN422" s="2"/>
      <c r="BO422" s="2"/>
      <c r="BP422" s="2"/>
      <c r="BQ422" s="2"/>
      <c r="BR422" s="2"/>
      <c r="BS422" s="2"/>
      <c r="BT422" s="2"/>
      <c r="BU422" s="2"/>
      <c r="BV422" s="2"/>
      <c r="BW422" s="2"/>
      <c r="BX422" s="2"/>
      <c r="BY422" s="2"/>
      <c r="BZ422" s="2"/>
      <c r="CA422" s="2"/>
      <c r="CB422" s="2"/>
      <c r="CC422" s="2"/>
      <c r="CD422" s="2"/>
      <c r="CE422" s="2"/>
      <c r="CF422" s="2"/>
      <c r="CG422" s="2"/>
      <c r="CH422" s="2"/>
      <c r="CI422" s="2"/>
      <c r="CJ422" s="2"/>
      <c r="CK422" s="2"/>
      <c r="CL422" s="2"/>
      <c r="CM422" s="2"/>
      <c r="CN422" s="2"/>
      <c r="CO422" s="2"/>
      <c r="CP422" s="2"/>
      <c r="CQ422" s="2"/>
      <c r="CR422" s="2"/>
      <c r="CS422" s="2"/>
      <c r="CT422" s="2"/>
      <c r="CU422" s="2"/>
      <c r="CV422" s="2"/>
      <c r="CW422" s="2"/>
      <c r="CX422" s="2"/>
      <c r="CY422" s="2"/>
      <c r="CZ422" s="2"/>
      <c r="DA422" s="2"/>
      <c r="DB422" s="2"/>
      <c r="DC422" s="2"/>
      <c r="DD422" s="2"/>
      <c r="DE422" s="2"/>
      <c r="DF422" s="2"/>
    </row>
    <row r="423" spans="29:110" hidden="1" x14ac:dyDescent="0.2">
      <c r="AC423" s="2"/>
      <c r="AD423" s="2"/>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c r="BE423" s="2"/>
      <c r="BF423" s="2"/>
      <c r="BG423" s="2"/>
      <c r="BH423" s="2"/>
      <c r="BI423" s="2"/>
      <c r="BJ423" s="2"/>
      <c r="BK423" s="2"/>
      <c r="BL423" s="2"/>
      <c r="BM423" s="2"/>
      <c r="BN423" s="2"/>
      <c r="BO423" s="2"/>
      <c r="BP423" s="2"/>
      <c r="BQ423" s="2"/>
      <c r="BR423" s="2"/>
      <c r="BS423" s="2"/>
      <c r="BT423" s="2"/>
      <c r="BU423" s="2"/>
      <c r="BV423" s="2"/>
      <c r="BW423" s="2"/>
      <c r="BX423" s="2"/>
      <c r="BY423" s="2"/>
      <c r="BZ423" s="2"/>
      <c r="CA423" s="2"/>
      <c r="CB423" s="2"/>
      <c r="CC423" s="2"/>
      <c r="CD423" s="2"/>
      <c r="CE423" s="2"/>
      <c r="CF423" s="2"/>
      <c r="CG423" s="2"/>
      <c r="CH423" s="2"/>
      <c r="CI423" s="2"/>
      <c r="CJ423" s="2"/>
      <c r="CK423" s="2"/>
      <c r="CL423" s="2"/>
      <c r="CM423" s="2"/>
      <c r="CN423" s="2"/>
      <c r="CO423" s="2"/>
      <c r="CP423" s="2"/>
      <c r="CQ423" s="2"/>
      <c r="CR423" s="2"/>
      <c r="CS423" s="2"/>
      <c r="CT423" s="2"/>
      <c r="CU423" s="2"/>
      <c r="CV423" s="2"/>
      <c r="CW423" s="2"/>
      <c r="CX423" s="2"/>
      <c r="CY423" s="2"/>
      <c r="CZ423" s="2"/>
      <c r="DA423" s="2"/>
      <c r="DB423" s="2"/>
      <c r="DC423" s="2"/>
      <c r="DD423" s="2"/>
      <c r="DE423" s="2"/>
      <c r="DF423" s="2"/>
    </row>
    <row r="424" spans="29:110" hidden="1" x14ac:dyDescent="0.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2"/>
      <c r="BF424" s="2"/>
      <c r="BG424" s="2"/>
      <c r="BH424" s="2"/>
      <c r="BI424" s="2"/>
      <c r="BJ424" s="2"/>
      <c r="BK424" s="2"/>
      <c r="BL424" s="2"/>
      <c r="BM424" s="2"/>
      <c r="BN424" s="2"/>
      <c r="BO424" s="2"/>
      <c r="BP424" s="2"/>
      <c r="BQ424" s="2"/>
      <c r="BR424" s="2"/>
      <c r="BS424" s="2"/>
      <c r="BT424" s="2"/>
      <c r="BU424" s="2"/>
      <c r="BV424" s="2"/>
      <c r="BW424" s="2"/>
      <c r="BX424" s="2"/>
      <c r="BY424" s="2"/>
      <c r="BZ424" s="2"/>
      <c r="CA424" s="2"/>
      <c r="CB424" s="2"/>
      <c r="CC424" s="2"/>
      <c r="CD424" s="2"/>
      <c r="CE424" s="2"/>
      <c r="CF424" s="2"/>
      <c r="CG424" s="2"/>
      <c r="CH424" s="2"/>
      <c r="CI424" s="2"/>
      <c r="CJ424" s="2"/>
      <c r="CK424" s="2"/>
      <c r="CL424" s="2"/>
      <c r="CM424" s="2"/>
      <c r="CN424" s="2"/>
      <c r="CO424" s="2"/>
      <c r="CP424" s="2"/>
      <c r="CQ424" s="2"/>
      <c r="CR424" s="2"/>
      <c r="CS424" s="2"/>
      <c r="CT424" s="2"/>
      <c r="CU424" s="2"/>
      <c r="CV424" s="2"/>
      <c r="CW424" s="2"/>
      <c r="CX424" s="2"/>
      <c r="CY424" s="2"/>
      <c r="CZ424" s="2"/>
      <c r="DA424" s="2"/>
      <c r="DB424" s="2"/>
      <c r="DC424" s="2"/>
      <c r="DD424" s="2"/>
      <c r="DE424" s="2"/>
      <c r="DF424" s="2"/>
    </row>
    <row r="425" spans="29:110" hidden="1" x14ac:dyDescent="0.2">
      <c r="AC425" s="2"/>
      <c r="AD425" s="2"/>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c r="BD425" s="2"/>
      <c r="BE425" s="2"/>
      <c r="BF425" s="2"/>
      <c r="BG425" s="2"/>
      <c r="BH425" s="2"/>
      <c r="BI425" s="2"/>
      <c r="BJ425" s="2"/>
      <c r="BK425" s="2"/>
      <c r="BL425" s="2"/>
      <c r="BM425" s="2"/>
      <c r="BN425" s="2"/>
      <c r="BO425" s="2"/>
      <c r="BP425" s="2"/>
      <c r="BQ425" s="2"/>
      <c r="BR425" s="2"/>
      <c r="BS425" s="2"/>
      <c r="BT425" s="2"/>
      <c r="BU425" s="2"/>
      <c r="BV425" s="2"/>
      <c r="BW425" s="2"/>
      <c r="BX425" s="2"/>
      <c r="BY425" s="2"/>
      <c r="BZ425" s="2"/>
      <c r="CA425" s="2"/>
      <c r="CB425" s="2"/>
      <c r="CC425" s="2"/>
      <c r="CD425" s="2"/>
      <c r="CE425" s="2"/>
      <c r="CF425" s="2"/>
      <c r="CG425" s="2"/>
      <c r="CH425" s="2"/>
      <c r="CI425" s="2"/>
      <c r="CJ425" s="2"/>
      <c r="CK425" s="2"/>
      <c r="CL425" s="2"/>
      <c r="CM425" s="2"/>
      <c r="CN425" s="2"/>
      <c r="CO425" s="2"/>
      <c r="CP425" s="2"/>
      <c r="CQ425" s="2"/>
      <c r="CR425" s="2"/>
      <c r="CS425" s="2"/>
      <c r="CT425" s="2"/>
      <c r="CU425" s="2"/>
      <c r="CV425" s="2"/>
      <c r="CW425" s="2"/>
      <c r="CX425" s="2"/>
      <c r="CY425" s="2"/>
      <c r="CZ425" s="2"/>
      <c r="DA425" s="2"/>
      <c r="DB425" s="2"/>
      <c r="DC425" s="2"/>
      <c r="DD425" s="2"/>
      <c r="DE425" s="2"/>
      <c r="DF425" s="2"/>
    </row>
    <row r="426" spans="29:110" hidden="1" x14ac:dyDescent="0.2">
      <c r="AC426" s="2"/>
      <c r="AD426" s="2"/>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c r="BC426" s="2"/>
      <c r="BD426" s="2"/>
      <c r="BE426" s="2"/>
      <c r="BF426" s="2"/>
      <c r="BG426" s="2"/>
      <c r="BH426" s="2"/>
      <c r="BI426" s="2"/>
      <c r="BJ426" s="2"/>
      <c r="BK426" s="2"/>
      <c r="BL426" s="2"/>
      <c r="BM426" s="2"/>
      <c r="BN426" s="2"/>
      <c r="BO426" s="2"/>
      <c r="BP426" s="2"/>
      <c r="BQ426" s="2"/>
      <c r="BR426" s="2"/>
      <c r="BS426" s="2"/>
      <c r="BT426" s="2"/>
      <c r="BU426" s="2"/>
      <c r="BV426" s="2"/>
      <c r="BW426" s="2"/>
      <c r="BX426" s="2"/>
      <c r="BY426" s="2"/>
      <c r="BZ426" s="2"/>
      <c r="CA426" s="2"/>
      <c r="CB426" s="2"/>
      <c r="CC426" s="2"/>
      <c r="CD426" s="2"/>
      <c r="CE426" s="2"/>
      <c r="CF426" s="2"/>
      <c r="CG426" s="2"/>
      <c r="CH426" s="2"/>
      <c r="CI426" s="2"/>
      <c r="CJ426" s="2"/>
      <c r="CK426" s="2"/>
      <c r="CL426" s="2"/>
      <c r="CM426" s="2"/>
      <c r="CN426" s="2"/>
      <c r="CO426" s="2"/>
      <c r="CP426" s="2"/>
      <c r="CQ426" s="2"/>
      <c r="CR426" s="2"/>
      <c r="CS426" s="2"/>
      <c r="CT426" s="2"/>
      <c r="CU426" s="2"/>
      <c r="CV426" s="2"/>
      <c r="CW426" s="2"/>
      <c r="CX426" s="2"/>
      <c r="CY426" s="2"/>
      <c r="CZ426" s="2"/>
      <c r="DA426" s="2"/>
      <c r="DB426" s="2"/>
      <c r="DC426" s="2"/>
      <c r="DD426" s="2"/>
      <c r="DE426" s="2"/>
      <c r="DF426" s="2"/>
    </row>
    <row r="427" spans="29:110" hidden="1" x14ac:dyDescent="0.2">
      <c r="AC427" s="2"/>
      <c r="AD427" s="2"/>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c r="BE427" s="2"/>
      <c r="BF427" s="2"/>
      <c r="BG427" s="2"/>
      <c r="BH427" s="2"/>
      <c r="BI427" s="2"/>
      <c r="BJ427" s="2"/>
      <c r="BK427" s="2"/>
      <c r="BL427" s="2"/>
      <c r="BM427" s="2"/>
      <c r="BN427" s="2"/>
      <c r="BO427" s="2"/>
      <c r="BP427" s="2"/>
      <c r="BQ427" s="2"/>
      <c r="BR427" s="2"/>
      <c r="BS427" s="2"/>
      <c r="BT427" s="2"/>
      <c r="BU427" s="2"/>
      <c r="BV427" s="2"/>
      <c r="BW427" s="2"/>
      <c r="BX427" s="2"/>
      <c r="BY427" s="2"/>
      <c r="BZ427" s="2"/>
      <c r="CA427" s="2"/>
      <c r="CB427" s="2"/>
      <c r="CC427" s="2"/>
      <c r="CD427" s="2"/>
      <c r="CE427" s="2"/>
      <c r="CF427" s="2"/>
      <c r="CG427" s="2"/>
      <c r="CH427" s="2"/>
      <c r="CI427" s="2"/>
      <c r="CJ427" s="2"/>
      <c r="CK427" s="2"/>
      <c r="CL427" s="2"/>
      <c r="CM427" s="2"/>
      <c r="CN427" s="2"/>
      <c r="CO427" s="2"/>
      <c r="CP427" s="2"/>
      <c r="CQ427" s="2"/>
      <c r="CR427" s="2"/>
      <c r="CS427" s="2"/>
      <c r="CT427" s="2"/>
      <c r="CU427" s="2"/>
      <c r="CV427" s="2"/>
      <c r="CW427" s="2"/>
      <c r="CX427" s="2"/>
      <c r="CY427" s="2"/>
      <c r="CZ427" s="2"/>
      <c r="DA427" s="2"/>
      <c r="DB427" s="2"/>
      <c r="DC427" s="2"/>
      <c r="DD427" s="2"/>
      <c r="DE427" s="2"/>
      <c r="DF427" s="2"/>
    </row>
    <row r="428" spans="29:110" hidden="1" x14ac:dyDescent="0.2"/>
    <row r="429" spans="29:110" hidden="1" x14ac:dyDescent="0.2"/>
    <row r="430" spans="29:110" hidden="1" x14ac:dyDescent="0.2"/>
    <row r="431" spans="29:110" hidden="1" x14ac:dyDescent="0.2"/>
    <row r="432" spans="29:110" hidden="1" x14ac:dyDescent="0.2"/>
    <row r="433" s="5" customFormat="1" hidden="1" x14ac:dyDescent="0.2"/>
    <row r="434" s="5" customFormat="1" hidden="1" x14ac:dyDescent="0.2"/>
    <row r="435" s="5" customFormat="1" hidden="1" x14ac:dyDescent="0.2"/>
    <row r="436" s="5" customFormat="1" hidden="1" x14ac:dyDescent="0.2"/>
    <row r="437" s="5" customFormat="1" hidden="1" x14ac:dyDescent="0.2"/>
    <row r="438" s="5" customFormat="1" hidden="1" x14ac:dyDescent="0.2"/>
    <row r="439" s="5" customFormat="1" hidden="1" x14ac:dyDescent="0.2"/>
    <row r="440" s="5" customFormat="1" hidden="1" x14ac:dyDescent="0.2"/>
    <row r="441" s="5" customFormat="1" hidden="1" x14ac:dyDescent="0.2"/>
    <row r="442" s="5" customFormat="1" hidden="1" x14ac:dyDescent="0.2"/>
    <row r="443" s="5" customFormat="1" hidden="1" x14ac:dyDescent="0.2"/>
    <row r="444" s="5" customFormat="1" hidden="1" x14ac:dyDescent="0.2"/>
  </sheetData>
  <mergeCells count="97">
    <mergeCell ref="B166:I166"/>
    <mergeCell ref="B3:R3"/>
    <mergeCell ref="C9:H9"/>
    <mergeCell ref="U10:Z10"/>
    <mergeCell ref="W163:Z163"/>
    <mergeCell ref="W160:Z160"/>
    <mergeCell ref="W162:Z162"/>
    <mergeCell ref="W3:Y3"/>
    <mergeCell ref="W4:Y4"/>
    <mergeCell ref="W5:Y5"/>
    <mergeCell ref="O12:T12"/>
    <mergeCell ref="K41:Q41"/>
    <mergeCell ref="R44:Z44"/>
    <mergeCell ref="R46:Z46"/>
    <mergeCell ref="C43:J43"/>
    <mergeCell ref="I150:N150"/>
    <mergeCell ref="I8:N8"/>
    <mergeCell ref="C164:V164"/>
    <mergeCell ref="I147:N147"/>
    <mergeCell ref="C160:V160"/>
    <mergeCell ref="K42:Q42"/>
    <mergeCell ref="I149:N149"/>
    <mergeCell ref="C163:V163"/>
    <mergeCell ref="O7:T7"/>
    <mergeCell ref="K43:Q43"/>
    <mergeCell ref="I148:N148"/>
    <mergeCell ref="C42:J42"/>
    <mergeCell ref="C2:Q2"/>
    <mergeCell ref="C173:AC173"/>
    <mergeCell ref="I151:N151"/>
    <mergeCell ref="O8:T8"/>
    <mergeCell ref="C162:V162"/>
    <mergeCell ref="U11:Z11"/>
    <mergeCell ref="I10:N10"/>
    <mergeCell ref="K45:Q45"/>
    <mergeCell ref="W154:Z154"/>
    <mergeCell ref="I12:N12"/>
    <mergeCell ref="C11:H11"/>
    <mergeCell ref="U12:Z12"/>
    <mergeCell ref="R42:Z42"/>
    <mergeCell ref="C159:V159"/>
    <mergeCell ref="C147:H147"/>
    <mergeCell ref="C149:H149"/>
    <mergeCell ref="C176:AC176"/>
    <mergeCell ref="O151:Z151"/>
    <mergeCell ref="C7:H7"/>
    <mergeCell ref="W155:Z155"/>
    <mergeCell ref="C148:H148"/>
    <mergeCell ref="C157:V157"/>
    <mergeCell ref="C174:AC174"/>
    <mergeCell ref="W157:Z157"/>
    <mergeCell ref="W159:Z159"/>
    <mergeCell ref="C150:H150"/>
    <mergeCell ref="W156:Z156"/>
    <mergeCell ref="C41:J41"/>
    <mergeCell ref="U7:Z7"/>
    <mergeCell ref="W158:Z158"/>
    <mergeCell ref="C165:V165"/>
    <mergeCell ref="I7:N7"/>
    <mergeCell ref="B179:AC179"/>
    <mergeCell ref="C10:H10"/>
    <mergeCell ref="R43:Z43"/>
    <mergeCell ref="O150:Z150"/>
    <mergeCell ref="C175:AC175"/>
    <mergeCell ref="O10:T10"/>
    <mergeCell ref="C46:J46"/>
    <mergeCell ref="C171:AC171"/>
    <mergeCell ref="C12:H12"/>
    <mergeCell ref="R45:Z45"/>
    <mergeCell ref="C177:AC177"/>
    <mergeCell ref="C151:H151"/>
    <mergeCell ref="K44:Q44"/>
    <mergeCell ref="C155:V155"/>
    <mergeCell ref="K46:Q46"/>
    <mergeCell ref="W161:Z161"/>
    <mergeCell ref="C172:AC172"/>
    <mergeCell ref="O149:Z149"/>
    <mergeCell ref="I11:N11"/>
    <mergeCell ref="C156:V156"/>
    <mergeCell ref="O9:T9"/>
    <mergeCell ref="O148:Z148"/>
    <mergeCell ref="R41:Z41"/>
    <mergeCell ref="C158:V158"/>
    <mergeCell ref="O11:T11"/>
    <mergeCell ref="C44:J44"/>
    <mergeCell ref="C170:AC170"/>
    <mergeCell ref="W165:Z165"/>
    <mergeCell ref="C161:V161"/>
    <mergeCell ref="C45:J45"/>
    <mergeCell ref="B15:AC15"/>
    <mergeCell ref="C154:V154"/>
    <mergeCell ref="B4:R4"/>
    <mergeCell ref="U8:Z8"/>
    <mergeCell ref="O147:Z147"/>
    <mergeCell ref="I9:N9"/>
    <mergeCell ref="C8:H8"/>
    <mergeCell ref="U9:Z9"/>
  </mergeCells>
  <conditionalFormatting sqref="C165:V165">
    <cfRule type="expression" dxfId="8" priority="5">
      <formula>$C$165="FAIL"</formula>
    </cfRule>
  </conditionalFormatting>
  <conditionalFormatting sqref="C135:Z135">
    <cfRule type="cellIs" dxfId="7" priority="7" operator="lessThan">
      <formula>0</formula>
    </cfRule>
  </conditionalFormatting>
  <conditionalFormatting sqref="C144:AC144">
    <cfRule type="cellIs" dxfId="6" priority="6" operator="lessThan">
      <formula>0</formula>
    </cfRule>
  </conditionalFormatting>
  <conditionalFormatting sqref="W3">
    <cfRule type="cellIs" dxfId="5" priority="8" operator="equal">
      <formula>"Upside"</formula>
    </cfRule>
    <cfRule type="cellIs" dxfId="4" priority="9" operator="equal">
      <formula>"Downside"</formula>
    </cfRule>
  </conditionalFormatting>
  <conditionalFormatting sqref="W164">
    <cfRule type="expression" dxfId="3" priority="1">
      <formula>W164="PASS"</formula>
    </cfRule>
    <cfRule type="expression" dxfId="2" priority="2">
      <formula>W164="FAIL"</formula>
    </cfRule>
  </conditionalFormatting>
  <conditionalFormatting sqref="W155:Z163">
    <cfRule type="expression" dxfId="1" priority="3">
      <formula>W155="PASS"</formula>
    </cfRule>
    <cfRule type="expression" dxfId="0" priority="4">
      <formula>W155="FAIL"</formula>
    </cfRule>
  </conditionalFormatting>
  <dataValidations count="3">
    <dataValidation type="list" sqref="W3" xr:uid="{00000000-0002-0000-0200-000001000000}">
      <formula1>"Base,Downside,Upside"</formula1>
    </dataValidation>
    <dataValidation type="list" sqref="W4" xr:uid="{00000000-0002-0000-0200-000002000000}">
      <formula1>"Income Statement,Cash Flow,Balance Sheet,All Three"</formula1>
    </dataValidation>
    <dataValidation type="list" sqref="W5" xr:uid="{00000000-0002-0000-0200-000003000000}">
      <formula1>"12 months,24 months"</formula1>
    </dataValidation>
  </dataValidations>
  <hyperlinks>
    <hyperlink ref="B166" r:id="rId1" tooltip="Book a fit call · Infraxus" xr:uid="{2FAB1613-9E27-CC46-8625-73C6F6BA9C9B}"/>
  </hyperlinks>
  <printOptions horizontalCentered="1"/>
  <pageMargins left="0.4" right="0.4" top="0.5" bottom="0.5" header="0.3" footer="0.3"/>
  <pageSetup scale="55" fitToWidth="0" fitToHeight="0" orientation="landscape"/>
  <drawing r:id="rId2"/>
  <legacyDrawing r:id="rId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5</vt:i4>
      </vt:variant>
      <vt:variant>
        <vt:lpstr>Named Ranges</vt:lpstr>
      </vt:variant>
      <vt:variant>
        <vt:i4>223</vt:i4>
      </vt:variant>
    </vt:vector>
  </HeadingPairs>
  <TitlesOfParts>
    <vt:vector size="228" baseType="lpstr">
      <vt:lpstr>Read Me</vt:lpstr>
      <vt:lpstr>Drivers</vt:lpstr>
      <vt:lpstr>Model</vt:lpstr>
      <vt:lpstr>Sample Drivers</vt:lpstr>
      <vt:lpstr>Sample Model</vt:lpstr>
      <vt:lpstr>act_horizon_n</vt:lpstr>
      <vt:lpstr>act_scn_idx</vt:lpstr>
      <vt:lpstr>act_view_idx</vt:lpstr>
      <vt:lpstr>'Sample Drivers'!inp_ap_days</vt:lpstr>
      <vt:lpstr>inp_ap_days</vt:lpstr>
      <vt:lpstr>'Sample Drivers'!inp_ar_days</vt:lpstr>
      <vt:lpstr>inp_ar_days</vt:lpstr>
      <vt:lpstr>'Sample Drivers'!inp_biz_name</vt:lpstr>
      <vt:lpstr>inp_biz_name</vt:lpstr>
      <vt:lpstr>'Sample Drivers'!inp_capex</vt:lpstr>
      <vt:lpstr>inp_capex</vt:lpstr>
      <vt:lpstr>'Sample Drivers'!inp_cov_de_max</vt:lpstr>
      <vt:lpstr>inp_cov_de_max</vt:lpstr>
      <vt:lpstr>'Sample Drivers'!inp_cov_dscr_min</vt:lpstr>
      <vt:lpstr>inp_cov_dscr_min</vt:lpstr>
      <vt:lpstr>'Sample Drivers'!inp_da_monthly</vt:lpstr>
      <vt:lpstr>inp_da_monthly</vt:lpstr>
      <vt:lpstr>'Sample Drivers'!inp_dc_contractors</vt:lpstr>
      <vt:lpstr>inp_dc_contractors</vt:lpstr>
      <vt:lpstr>'Sample Drivers'!inp_dc_other</vt:lpstr>
      <vt:lpstr>inp_dc_other</vt:lpstr>
      <vt:lpstr>'Sample Drivers'!inp_dc_passthrough</vt:lpstr>
      <vt:lpstr>inp_dc_passthrough</vt:lpstr>
      <vt:lpstr>'Sample Drivers'!inp_dc_pct_sl1</vt:lpstr>
      <vt:lpstr>inp_dc_pct_sl1</vt:lpstr>
      <vt:lpstr>'Sample Drivers'!inp_dc_pct_sl2</vt:lpstr>
      <vt:lpstr>inp_dc_pct_sl2</vt:lpstr>
      <vt:lpstr>'Sample Drivers'!inp_dc_pct_sl3</vt:lpstr>
      <vt:lpstr>inp_dc_pct_sl3</vt:lpstr>
      <vt:lpstr>'Sample Drivers'!inp_dc_pct_sl4</vt:lpstr>
      <vt:lpstr>inp_dc_pct_sl4</vt:lpstr>
      <vt:lpstr>'Sample Drivers'!inp_dc_pct_sl5</vt:lpstr>
      <vt:lpstr>inp_dc_pct_sl5</vt:lpstr>
      <vt:lpstr>'Sample Drivers'!inp_dc_tools</vt:lpstr>
      <vt:lpstr>inp_dc_tools</vt:lpstr>
      <vt:lpstr>'Sample Drivers'!inp_debt_draw</vt:lpstr>
      <vt:lpstr>inp_debt_draw</vt:lpstr>
      <vt:lpstr>'Sample Drivers'!inp_debt_repay</vt:lpstr>
      <vt:lpstr>inp_debt_repay</vt:lpstr>
      <vt:lpstr>'Sample Drivers'!inp_dist</vt:lpstr>
      <vt:lpstr>inp_dist</vt:lpstr>
      <vt:lpstr>'Sample Drivers'!inp_equity_contr</vt:lpstr>
      <vt:lpstr>inp_equity_contr</vt:lpstr>
      <vt:lpstr>'Sample Drivers'!inp_flc_per_fte</vt:lpstr>
      <vt:lpstr>inp_flc_per_fte</vt:lpstr>
      <vt:lpstr>'Sample Drivers'!inp_fy_label</vt:lpstr>
      <vt:lpstr>inp_fy_label</vt:lpstr>
      <vt:lpstr>'Sample Drivers'!inp_fy_start_month</vt:lpstr>
      <vt:lpstr>inp_fy_start_month</vt:lpstr>
      <vt:lpstr>'Sample Drivers'!inp_headcount</vt:lpstr>
      <vt:lpstr>inp_headcount</vt:lpstr>
      <vt:lpstr>inp_horizon</vt:lpstr>
      <vt:lpstr>'Sample Drivers'!inp_int_rate</vt:lpstr>
      <vt:lpstr>inp_int_rate</vt:lpstr>
      <vt:lpstr>'Sample Drivers'!inp_open_ap</vt:lpstr>
      <vt:lpstr>inp_open_ap</vt:lpstr>
      <vt:lpstr>'Sample Drivers'!inp_open_ar</vt:lpstr>
      <vt:lpstr>inp_open_ar</vt:lpstr>
      <vt:lpstr>'Sample Drivers'!inp_open_cash</vt:lpstr>
      <vt:lpstr>inp_open_cash</vt:lpstr>
      <vt:lpstr>'Sample Drivers'!inp_open_debt</vt:lpstr>
      <vt:lpstr>inp_open_debt</vt:lpstr>
      <vt:lpstr>'Sample Drivers'!inp_open_fa</vt:lpstr>
      <vt:lpstr>inp_open_fa</vt:lpstr>
      <vt:lpstr>'Sample Drivers'!inp_open_oca</vt:lpstr>
      <vt:lpstr>inp_open_oca</vt:lpstr>
      <vt:lpstr>'Sample Drivers'!inp_open_ocl</vt:lpstr>
      <vt:lpstr>inp_open_ocl</vt:lpstr>
      <vt:lpstr>'Sample Drivers'!inp_open_re</vt:lpstr>
      <vt:lpstr>inp_open_re</vt:lpstr>
      <vt:lpstr>'Sample Drivers'!inp_open_sc</vt:lpstr>
      <vt:lpstr>inp_open_sc</vt:lpstr>
      <vt:lpstr>'Sample Drivers'!inp_open_tax_pay</vt:lpstr>
      <vt:lpstr>inp_open_tax_pay</vt:lpstr>
      <vt:lpstr>'Sample Drivers'!inp_other_ca</vt:lpstr>
      <vt:lpstr>inp_other_ca</vt:lpstr>
      <vt:lpstr>'Sample Drivers'!inp_other_cl</vt:lpstr>
      <vt:lpstr>inp_other_cl</vt:lpstr>
      <vt:lpstr>'Sample Drivers'!inp_ox_insurance</vt:lpstr>
      <vt:lpstr>inp_ox_insurance</vt:lpstr>
      <vt:lpstr>'Sample Drivers'!inp_ox_other</vt:lpstr>
      <vt:lpstr>inp_ox_other</vt:lpstr>
      <vt:lpstr>'Sample Drivers'!inp_ox_payroll</vt:lpstr>
      <vt:lpstr>inp_ox_payroll</vt:lpstr>
      <vt:lpstr>'Sample Drivers'!inp_ox_prof_fees</vt:lpstr>
      <vt:lpstr>inp_ox_prof_fees</vt:lpstr>
      <vt:lpstr>'Sample Drivers'!inp_ox_rent</vt:lpstr>
      <vt:lpstr>inp_ox_rent</vt:lpstr>
      <vt:lpstr>'Sample Drivers'!inp_ox_sales_mktg</vt:lpstr>
      <vt:lpstr>inp_ox_sales_mktg</vt:lpstr>
      <vt:lpstr>'Sample Drivers'!inp_ox_software</vt:lpstr>
      <vt:lpstr>inp_ox_software</vt:lpstr>
      <vt:lpstr>'Sample Drivers'!inp_rev_sl1</vt:lpstr>
      <vt:lpstr>inp_rev_sl1</vt:lpstr>
      <vt:lpstr>'Sample Drivers'!inp_rev_sl2</vt:lpstr>
      <vt:lpstr>inp_rev_sl2</vt:lpstr>
      <vt:lpstr>'Sample Drivers'!inp_rev_sl3</vt:lpstr>
      <vt:lpstr>inp_rev_sl3</vt:lpstr>
      <vt:lpstr>'Sample Drivers'!inp_rev_sl4</vt:lpstr>
      <vt:lpstr>inp_rev_sl4</vt:lpstr>
      <vt:lpstr>'Sample Drivers'!inp_rev_sl5</vt:lpstr>
      <vt:lpstr>inp_rev_sl5</vt:lpstr>
      <vt:lpstr>inp_scenario</vt:lpstr>
      <vt:lpstr>'Sample Drivers'!inp_sl1_name</vt:lpstr>
      <vt:lpstr>inp_sl1_name</vt:lpstr>
      <vt:lpstr>'Sample Drivers'!inp_sl2_name</vt:lpstr>
      <vt:lpstr>inp_sl2_name</vt:lpstr>
      <vt:lpstr>'Sample Drivers'!inp_sl3_name</vt:lpstr>
      <vt:lpstr>inp_sl3_name</vt:lpstr>
      <vt:lpstr>'Sample Drivers'!inp_sl4_name</vt:lpstr>
      <vt:lpstr>inp_sl4_name</vt:lpstr>
      <vt:lpstr>'Sample Drivers'!inp_sl5_name</vt:lpstr>
      <vt:lpstr>inp_sl5_name</vt:lpstr>
      <vt:lpstr>'Sample Drivers'!inp_tax_pay_pct</vt:lpstr>
      <vt:lpstr>inp_tax_pay_pct</vt:lpstr>
      <vt:lpstr>'Sample Drivers'!inp_tax_rate</vt:lpstr>
      <vt:lpstr>inp_tax_rate</vt:lpstr>
      <vt:lpstr>inp_view</vt:lpstr>
      <vt:lpstr>Drivers!Print_Area</vt:lpstr>
      <vt:lpstr>Model!Print_Area</vt:lpstr>
      <vt:lpstr>'Read Me'!Print_Area</vt:lpstr>
      <vt:lpstr>'Sample Drivers'!Print_Area</vt:lpstr>
      <vt:lpstr>'Sample Model'!Print_Area</vt:lpstr>
      <vt:lpstr>Drivers!Print_Titles</vt:lpstr>
      <vt:lpstr>Model!Print_Titles</vt:lpstr>
      <vt:lpstr>'Read Me'!Print_Titles</vt:lpstr>
      <vt:lpstr>'Sample Drivers'!Print_Titles</vt:lpstr>
      <vt:lpstr>'Sample Model'!Print_Titles</vt:lpstr>
      <vt:lpstr>'Sample Drivers'!ref_region_codes</vt:lpstr>
      <vt:lpstr>ref_region_codes</vt:lpstr>
      <vt:lpstr>'Sample Drivers'!ref_region_fy_start</vt:lpstr>
      <vt:lpstr>ref_region_fy_start</vt:lpstr>
      <vt:lpstr>'Sample Drivers'!ref_region_tax_rate</vt:lpstr>
      <vt:lpstr>ref_region_tax_rate</vt:lpstr>
      <vt:lpstr>'Sample Drivers'!ref_scn_ap_adj</vt:lpstr>
      <vt:lpstr>ref_scn_ap_adj</vt:lpstr>
      <vt:lpstr>'Sample Drivers'!ref_scn_ar_adj</vt:lpstr>
      <vt:lpstr>ref_scn_ar_adj</vt:lpstr>
      <vt:lpstr>'Sample Drivers'!ref_scn_cost</vt:lpstr>
      <vt:lpstr>ref_scn_cost</vt:lpstr>
      <vt:lpstr>'Sample Drivers'!ref_scn_names</vt:lpstr>
      <vt:lpstr>ref_scn_names</vt:lpstr>
      <vt:lpstr>'Sample Drivers'!ref_scn_rev</vt:lpstr>
      <vt:lpstr>ref_scn_rev</vt:lpstr>
      <vt:lpstr>'Sample Drivers'!ref_tax_sched_au</vt:lpstr>
      <vt:lpstr>ref_tax_sched_au</vt:lpstr>
      <vt:lpstr>'Sample Drivers'!ref_tax_sched_nz</vt:lpstr>
      <vt:lpstr>ref_tax_sched_nz</vt:lpstr>
      <vt:lpstr>'Sample Drivers'!ref_tax_sched_us</vt:lpstr>
      <vt:lpstr>ref_tax_sched_us</vt:lpstr>
      <vt:lpstr>'Sample Drivers'!ref_vert_ap_days</vt:lpstr>
      <vt:lpstr>ref_vert_ap_days</vt:lpstr>
      <vt:lpstr>'Sample Drivers'!ref_vert_ar_days</vt:lpstr>
      <vt:lpstr>ref_vert_ar_days</vt:lpstr>
      <vt:lpstr>'Sample Drivers'!ref_vert_de</vt:lpstr>
      <vt:lpstr>ref_vert_de</vt:lpstr>
      <vt:lpstr>'Sample Drivers'!ref_vert_ebitda_m</vt:lpstr>
      <vt:lpstr>ref_vert_ebitda_m</vt:lpstr>
      <vt:lpstr>'Sample Drivers'!ref_vert_names</vt:lpstr>
      <vt:lpstr>ref_vert_names</vt:lpstr>
      <vt:lpstr>'Sample Drivers'!ref_vert_wc_int</vt:lpstr>
      <vt:lpstr>ref_vert_wc_int</vt:lpstr>
      <vt:lpstr>smp_act_horizon_n</vt:lpstr>
      <vt:lpstr>smp_act_scn_idx</vt:lpstr>
      <vt:lpstr>smp_act_view_idx</vt:lpstr>
      <vt:lpstr>smp_ap_days</vt:lpstr>
      <vt:lpstr>smp_ar_days</vt:lpstr>
      <vt:lpstr>smp_capex</vt:lpstr>
      <vt:lpstr>smp_cov_de_max</vt:lpstr>
      <vt:lpstr>smp_cov_dscr_min</vt:lpstr>
      <vt:lpstr>smp_da_monthly</vt:lpstr>
      <vt:lpstr>smp_dc_contractors</vt:lpstr>
      <vt:lpstr>smp_dc_other</vt:lpstr>
      <vt:lpstr>smp_dc_passthrough</vt:lpstr>
      <vt:lpstr>smp_dc_pct_sl1</vt:lpstr>
      <vt:lpstr>smp_dc_pct_sl2</vt:lpstr>
      <vt:lpstr>smp_dc_pct_sl3</vt:lpstr>
      <vt:lpstr>smp_dc_pct_sl4</vt:lpstr>
      <vt:lpstr>smp_dc_pct_sl5</vt:lpstr>
      <vt:lpstr>smp_dc_tools</vt:lpstr>
      <vt:lpstr>smp_debt_draw</vt:lpstr>
      <vt:lpstr>smp_debt_repay</vt:lpstr>
      <vt:lpstr>smp_dist</vt:lpstr>
      <vt:lpstr>smp_equity_contr</vt:lpstr>
      <vt:lpstr>smp_flc_per_fte</vt:lpstr>
      <vt:lpstr>smp_fy_start_month</vt:lpstr>
      <vt:lpstr>smp_fy_start_text</vt:lpstr>
      <vt:lpstr>smp_headcount</vt:lpstr>
      <vt:lpstr>smp_horizon</vt:lpstr>
      <vt:lpstr>smp_int_rate</vt:lpstr>
      <vt:lpstr>smp_open_ap</vt:lpstr>
      <vt:lpstr>smp_open_ar</vt:lpstr>
      <vt:lpstr>smp_open_cash</vt:lpstr>
      <vt:lpstr>smp_open_debt</vt:lpstr>
      <vt:lpstr>smp_open_fa</vt:lpstr>
      <vt:lpstr>smp_open_oca</vt:lpstr>
      <vt:lpstr>smp_open_ocl</vt:lpstr>
      <vt:lpstr>smp_open_re</vt:lpstr>
      <vt:lpstr>smp_open_sc</vt:lpstr>
      <vt:lpstr>smp_open_tax_pay</vt:lpstr>
      <vt:lpstr>smp_other_ca</vt:lpstr>
      <vt:lpstr>smp_other_cl</vt:lpstr>
      <vt:lpstr>smp_ox_insurance</vt:lpstr>
      <vt:lpstr>smp_ox_other</vt:lpstr>
      <vt:lpstr>smp_ox_payroll</vt:lpstr>
      <vt:lpstr>smp_ox_prof_fees</vt:lpstr>
      <vt:lpstr>smp_ox_rent</vt:lpstr>
      <vt:lpstr>smp_ox_sales_mktg</vt:lpstr>
      <vt:lpstr>smp_ox_software</vt:lpstr>
      <vt:lpstr>smp_rev_sl1</vt:lpstr>
      <vt:lpstr>smp_rev_sl2</vt:lpstr>
      <vt:lpstr>smp_rev_sl3</vt:lpstr>
      <vt:lpstr>smp_rev_sl4</vt:lpstr>
      <vt:lpstr>smp_rev_sl5</vt:lpstr>
      <vt:lpstr>smp_scenario</vt:lpstr>
      <vt:lpstr>smp_sl1_name</vt:lpstr>
      <vt:lpstr>smp_sl2_name</vt:lpstr>
      <vt:lpstr>smp_sl3_name</vt:lpstr>
      <vt:lpstr>smp_sl4_name</vt:lpstr>
      <vt:lpstr>smp_sl5_name</vt:lpstr>
      <vt:lpstr>smp_tax_pay_pct</vt:lpstr>
      <vt:lpstr>smp_tax_rate</vt:lpstr>
      <vt:lpstr>smp_view</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Liam Collier</cp:lastModifiedBy>
  <dcterms:created xsi:type="dcterms:W3CDTF">2026-05-26T21:09:17Z</dcterms:created>
  <dcterms:modified xsi:type="dcterms:W3CDTF">2026-06-04T02:50:09Z</dcterms:modified>
</cp:coreProperties>
</file>